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8ai3liuD/chmyme7fzzOFzLZlAr3EJRuQOPaLAfgNaH9P3Wi/GV7ur1J2YcVPvNa2LsBRejrEKNe+8cOeNiJSg==" workbookSaltValue="e2Mk7A0mDbkg19y1x2KLl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R8" i="9"/>
  <c r="V16" i="11"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BL17" i="11"/>
  <c r="T14" i="20"/>
  <c r="BH22" i="11"/>
  <c r="BF25" i="8"/>
  <c r="AY14" i="8"/>
  <c r="BD9" i="8"/>
  <c r="BF9" i="8"/>
  <c r="L28" i="2"/>
  <c r="X21" i="20"/>
  <c r="C30" i="7"/>
  <c r="S16" i="17"/>
  <c r="L12" i="2"/>
  <c r="L13" i="2"/>
  <c r="AO14" i="21"/>
  <c r="U9" i="17"/>
  <c r="U31" i="17" s="1"/>
  <c r="AP14" i="16"/>
  <c r="X13" i="16"/>
  <c r="T23" i="17"/>
  <c r="T26" i="17" s="1"/>
  <c r="T30" i="17" s="1"/>
  <c r="BE17" i="13"/>
  <c r="G30" i="14"/>
  <c r="G23" i="14"/>
  <c r="X32" i="20"/>
  <c r="BF17" i="8" l="1"/>
  <c r="H28" i="2"/>
  <c r="V25" i="16"/>
  <c r="L9" i="2"/>
  <c r="L19" i="2"/>
  <c r="X10" i="21"/>
  <c r="L25" i="2"/>
  <c r="S17" i="17"/>
  <c r="L10" i="2"/>
  <c r="BK10" i="11"/>
  <c r="BL22" i="11"/>
  <c r="Q16" i="17"/>
  <c r="BK20" i="11"/>
  <c r="BF12" i="11"/>
  <c r="T17" i="11"/>
  <c r="R28" i="14"/>
  <c r="S11" i="17"/>
  <c r="BV10" i="16"/>
  <c r="BW16" i="20"/>
  <c r="BW17" i="20"/>
  <c r="BU21" i="17"/>
  <c r="BU11" i="17"/>
  <c r="BJ28" i="11"/>
  <c r="AZ9" i="11"/>
  <c r="AZ14" i="11" s="1"/>
  <c r="AZ13" i="11"/>
  <c r="BI19" i="11"/>
  <c r="BI25" i="11"/>
  <c r="BG22" i="11"/>
  <c r="Q18" i="20"/>
  <c r="Q23" i="20" s="1"/>
  <c r="Z14" i="17"/>
  <c r="BD16" i="13"/>
  <c r="BE16" i="13"/>
  <c r="AP17" i="20"/>
  <c r="BL19" i="11"/>
  <c r="BJ22" i="11"/>
  <c r="BJ18" i="11"/>
  <c r="BG10" i="11"/>
  <c r="BM17" i="11"/>
  <c r="V11" i="16"/>
  <c r="BF21" i="11"/>
  <c r="V25" i="11"/>
  <c r="BF17" i="11"/>
  <c r="BF10" i="11"/>
  <c r="BL12" i="11"/>
  <c r="BK11" i="11"/>
  <c r="AZ18" i="11"/>
  <c r="AP10" i="21"/>
  <c r="AP21" i="20"/>
  <c r="BH20" i="16"/>
  <c r="BJ11" i="11"/>
  <c r="BH22" i="16"/>
  <c r="R10" i="21"/>
  <c r="R14" i="21" s="1"/>
  <c r="R31" i="21" s="1"/>
  <c r="BJ20" i="11"/>
  <c r="BG16" i="11"/>
  <c r="BH13" i="11"/>
  <c r="BL13" i="11"/>
  <c r="BH18" i="11"/>
  <c r="BM16"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AZ26"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<sst xmlns="http://schemas.openxmlformats.org/spreadsheetml/2006/main" count="2682" uniqueCount="1193">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</sst>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4CWY/+kW++RZTpJylXJoVF/kMbBUcthM4LzctGCjy6xOSzpE8rbJm+5Kmte0c3seCm1iIdowdaTWRD8/d9yDw==" saltValue="tIAAC7phmzSKBaJNj9zH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21</v>
      </c>
      <c r="E10" s="240">
        <f>IF(ISNUMBER(Datos!J10),Datos!J10," - ")</f>
        <v>7</v>
      </c>
      <c r="F10" s="240">
        <f>IF(ISNUMBER(Datos!K10),Datos!K10," - ")</f>
        <v>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2.3333333333333335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8.0325936199722605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21</v>
      </c>
      <c r="E14" s="1408">
        <f>SUBTOTAL(9,E9:E13)</f>
        <v>7</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480</v>
      </c>
      <c r="D17" s="239">
        <f>IF(ISNUMBER(IF(D_I="SI",Datos!I17,Datos!I17+Datos!AC17)),IF(D_I="SI",Datos!I17,Datos!I17+Datos!AC17)," - ")</f>
        <v>464</v>
      </c>
      <c r="E17" s="240">
        <f>IF(ISNUMBER(IF(D_I="SI",Datos!J17,Datos!J17+Datos!AD17)),IF(D_I="SI",Datos!J17,Datos!J17+Datos!AD17)," - ")</f>
        <v>1843</v>
      </c>
      <c r="F17" s="240">
        <f>IF(ISNUMBER(IF(D_I="SI",Datos!K17,Datos!K17+Datos!AE17)),IF(D_I="SI",Datos!K17,Datos!K17+Datos!AE17)," - ")</f>
        <v>1927</v>
      </c>
      <c r="G17" s="1390" t="str">
        <f>IF(Datos!E17&lt;&gt;"",Datos!E17,Datos!D17)</f>
        <v>04</v>
      </c>
      <c r="H17" s="241">
        <f>IF(ISNUMBER(IF(D_I="SI",Datos!L17,Datos!L17+Datos!AF17)),IF(D_I="SI",Datos!L17,Datos!L17+Datos!AF17)," - ")</f>
        <v>396</v>
      </c>
      <c r="I17" s="1400" t="str">
        <f>IF(ISNUMBER(Datos!AS17/Datos!BM17),Datos!AS17/Datos!BM17," - ")</f>
        <v xml:space="preserve"> - </v>
      </c>
      <c r="J17" s="1401">
        <f>IF(ISNUMBER(Datos!BY17/Datos!CN17),Datos!BY17/Datos!CN17," - ")</f>
        <v>0</v>
      </c>
      <c r="K17" s="244">
        <f t="shared" si="3"/>
        <v>-0.17499999999999999</v>
      </c>
      <c r="L17" s="1402">
        <f>IF(ISNUMBER(NºAsuntos!I17/NºAsuntos!G17),(NºAsuntos!I17/NºAsuntos!G17)*11," - ")</f>
        <v>2.2605085625324342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208</v>
      </c>
      <c r="F18" s="240">
        <f>IF(ISNUMBER(IF(D_I="SI",Datos!K18,Datos!K18+Datos!AE18)),IF(D_I="SI",Datos!K18,Datos!K18+Datos!AE18)," - ")</f>
        <v>189</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0.27142857142857141</v>
      </c>
      <c r="L18" s="1402">
        <f>IF(ISNUMBER(NºAsuntos!I18/NºAsuntos!G18),(NºAsuntos!I18/NºAsuntos!G18)*11," - ")</f>
        <v>5.1798941798941796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550</v>
      </c>
      <c r="D23" s="1407">
        <f>SUBTOTAL(9,D16:D22)</f>
        <v>534</v>
      </c>
      <c r="E23" s="1408">
        <f>SUBTOTAL(9,E16:E22)</f>
        <v>2051</v>
      </c>
      <c r="F23" s="1408">
        <f>SUBTOTAL(9,F16:F22)</f>
        <v>2116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553</v>
      </c>
      <c r="D31" s="1435">
        <f>SUBTOTAL(9,D9:D30)</f>
        <v>555</v>
      </c>
      <c r="E31" s="1436">
        <f>SUBTOTAL(9,E9:E30)</f>
        <v>2058</v>
      </c>
      <c r="F31" s="1436">
        <f>SUBTOTAL(9,F9:F30)</f>
        <v>2116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YxZF+ZS/mruhEISm2gkqq52x9O8RiVivWoaYLyEv8kQJrlCQ40JC+pNXZJTUmYC+75bQ1QF7zty8QEpqEjc35g==" saltValue="ITytR5te0Fw4o/4uJHTwj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bgQNHZ+SRCQLcuU7h4i0Sj6g8+iRTaDR87cQsJbzOn0G/O7tVxu31lbiOP3d4SDTX4WuzZevK3X+/8QVWm52g==" saltValue="IvnarXWtQcDo5/W/kIY/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7</v>
      </c>
      <c r="K10" s="194">
        <v>0</v>
      </c>
      <c r="L10" s="194">
        <v>10</v>
      </c>
      <c r="M10" s="194">
        <v>0</v>
      </c>
      <c r="N10" s="194">
        <v>0</v>
      </c>
      <c r="O10" s="194">
        <v>0</v>
      </c>
      <c r="P10" s="194">
        <v>0</v>
      </c>
      <c r="Q10" s="194">
        <v>0</v>
      </c>
      <c r="R10" s="194">
        <v>2</v>
      </c>
      <c r="S10" s="194">
        <v>17</v>
      </c>
      <c r="T10" s="194">
        <v>9</v>
      </c>
      <c r="U10" s="194">
        <v>5</v>
      </c>
      <c r="V10" s="194">
        <v>21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9</v>
      </c>
      <c r="BA10" s="139">
        <f t="shared" si="0"/>
        <v>5</v>
      </c>
      <c r="BB10" s="139">
        <f t="shared" si="0"/>
        <v>21</v>
      </c>
      <c r="BC10" s="135">
        <f t="shared" si="0"/>
        <v>0</v>
      </c>
      <c r="BD10" s="136">
        <f>IF(ISNUMBER(BA10/AZ10),BA10/AZ10," - ")</f>
        <v>0.55555555555555558</v>
      </c>
      <c r="BE10" s="137">
        <f>IF(ISNUMBER(BB10/BA10),BB10/BA10, " - ")</f>
        <v>4.2</v>
      </c>
      <c r="BF10" s="137">
        <f>IF(ISNUMBER(BC10/BA10),BC10/BA10, " - ")</f>
        <v>0</v>
      </c>
      <c r="BG10" s="209">
        <f>IF(ISNUMBER((AY10+AZ10)/BA10),(AY10+AZ10)/BA10," - ")</f>
        <v>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694</v>
      </c>
      <c r="J12" s="196">
        <v>1692</v>
      </c>
      <c r="K12" s="196">
        <v>1324</v>
      </c>
      <c r="L12" s="196">
        <v>1018</v>
      </c>
      <c r="M12" s="196">
        <v>377</v>
      </c>
      <c r="N12" s="196">
        <v>586</v>
      </c>
      <c r="O12" s="194">
        <v>490</v>
      </c>
      <c r="P12" s="196">
        <v>476</v>
      </c>
      <c r="Q12" s="196">
        <v>254</v>
      </c>
      <c r="R12" s="196">
        <v>1536</v>
      </c>
      <c r="S12" s="196">
        <v>759</v>
      </c>
      <c r="T12" s="196">
        <v>1490</v>
      </c>
      <c r="U12" s="196">
        <v>1616</v>
      </c>
      <c r="V12" s="196">
        <v>694</v>
      </c>
      <c r="W12" s="196">
        <v>468</v>
      </c>
      <c r="X12" s="202">
        <v>630</v>
      </c>
      <c r="Y12" s="204">
        <v>43</v>
      </c>
      <c r="Z12" s="194">
        <v>110</v>
      </c>
      <c r="AA12" s="194">
        <v>118</v>
      </c>
      <c r="AB12" s="194">
        <v>35</v>
      </c>
      <c r="AC12" s="196">
        <v>0</v>
      </c>
      <c r="AD12" s="196">
        <v>0</v>
      </c>
      <c r="AE12" s="196">
        <v>0</v>
      </c>
      <c r="AF12" s="202">
        <v>0</v>
      </c>
      <c r="AG12" s="215">
        <v>43</v>
      </c>
      <c r="AH12" s="196">
        <v>149</v>
      </c>
      <c r="AI12" s="196">
        <v>143</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802</v>
      </c>
      <c r="AZ12" s="137">
        <f t="shared" si="1"/>
        <v>1639</v>
      </c>
      <c r="BA12" s="137">
        <f t="shared" si="1"/>
        <v>1759</v>
      </c>
      <c r="BB12" s="137">
        <f t="shared" si="1"/>
        <v>737</v>
      </c>
      <c r="BC12" s="135">
        <f>IF(ISNUMBER(X12),X12," - ")</f>
        <v>630</v>
      </c>
      <c r="BD12" s="136">
        <f t="shared" si="2"/>
        <v>1.0732153752287981</v>
      </c>
      <c r="BE12" s="137">
        <f t="shared" si="3"/>
        <v>0.4189880613985219</v>
      </c>
      <c r="BF12" s="137">
        <f t="shared" si="4"/>
        <v>0.35815804434337689</v>
      </c>
      <c r="BG12" s="209">
        <f t="shared" si="5"/>
        <v>1.3877202956225128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715</v>
      </c>
      <c r="J14" s="197">
        <f t="shared" si="7"/>
        <v>1699</v>
      </c>
      <c r="K14" s="197">
        <f t="shared" si="7"/>
        <v>1324</v>
      </c>
      <c r="L14" s="197">
        <f t="shared" si="7"/>
        <v>1028</v>
      </c>
      <c r="M14" s="197">
        <f t="shared" si="7"/>
        <v>377</v>
      </c>
      <c r="N14" s="197">
        <f t="shared" si="7"/>
        <v>586</v>
      </c>
      <c r="O14" s="197">
        <f t="shared" si="7"/>
        <v>490</v>
      </c>
      <c r="P14" s="197">
        <f t="shared" si="7"/>
        <v>476</v>
      </c>
      <c r="Q14" s="197">
        <f t="shared" si="7"/>
        <v>254</v>
      </c>
      <c r="R14" s="197">
        <f t="shared" si="7"/>
        <v>1538</v>
      </c>
      <c r="S14" s="197">
        <f t="shared" si="7"/>
        <v>776</v>
      </c>
      <c r="T14" s="197">
        <f t="shared" si="7"/>
        <v>1499</v>
      </c>
      <c r="U14" s="197">
        <f t="shared" si="7"/>
        <v>1621</v>
      </c>
      <c r="V14" s="197">
        <f t="shared" si="7"/>
        <v>715</v>
      </c>
      <c r="W14" s="197">
        <f t="shared" si="7"/>
        <v>468</v>
      </c>
      <c r="X14" s="197">
        <f t="shared" si="7"/>
        <v>630</v>
      </c>
      <c r="Y14" s="197">
        <f t="shared" si="7"/>
        <v>43</v>
      </c>
      <c r="Z14" s="197">
        <f t="shared" si="7"/>
        <v>110</v>
      </c>
      <c r="AA14" s="197">
        <f t="shared" si="7"/>
        <v>118</v>
      </c>
      <c r="AB14" s="197">
        <f t="shared" si="7"/>
        <v>35</v>
      </c>
      <c r="AC14" s="197">
        <f t="shared" si="7"/>
        <v>0</v>
      </c>
      <c r="AD14" s="197">
        <f t="shared" si="7"/>
        <v>0</v>
      </c>
      <c r="AE14" s="197">
        <f t="shared" si="7"/>
        <v>0</v>
      </c>
      <c r="AF14" s="197">
        <f>SUBTOTAL(9,AF9:AF13)</f>
        <v>0</v>
      </c>
      <c r="AG14" s="197">
        <f t="shared" ref="AG14:AT14" si="8">SUBTOTAL(9,AG8:AG13)</f>
        <v>43</v>
      </c>
      <c r="AH14" s="197">
        <f t="shared" si="8"/>
        <v>149</v>
      </c>
      <c r="AI14" s="197">
        <f t="shared" si="8"/>
        <v>143</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819</v>
      </c>
      <c r="AZ14" s="197">
        <f>SUBTOTAL(9,AZ8:AZ13)</f>
        <v>1648</v>
      </c>
      <c r="BA14" s="197">
        <f>SUBTOTAL(9,BA8:BA13)</f>
        <v>1764</v>
      </c>
      <c r="BB14" s="197">
        <f>SUBTOTAL(9,BB8:BB13)</f>
        <v>758</v>
      </c>
      <c r="BC14" s="197">
        <f>SUBTOTAL(9,BC8:BC13)</f>
        <v>630</v>
      </c>
      <c r="BD14" s="219">
        <f>IF(ISNUMBER(BA14/AZ14),BA14/AZ14," - ")</f>
        <v>1.0703883495145632</v>
      </c>
      <c r="BE14" s="220">
        <f>IF(ISNUMBER(BB14/BA14),BB14/BA14, " - ")</f>
        <v>0.42970521541950113</v>
      </c>
      <c r="BF14" s="220">
        <f>IF(ISNUMBER(BC14/BA14),BC14/BA14, " - ")</f>
        <v>0.35714285714285715</v>
      </c>
      <c r="BG14" s="221">
        <f>IF(ISNUMBER((AY14+AZ14)/BA14),(AY14+AZ14)/BA14," - ")</f>
        <v>1.3985260770975056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464</v>
      </c>
      <c r="J17" s="196">
        <v>1843</v>
      </c>
      <c r="K17" s="196">
        <v>1927</v>
      </c>
      <c r="L17" s="196">
        <v>396</v>
      </c>
      <c r="M17" s="196">
        <v>327</v>
      </c>
      <c r="N17" s="196">
        <v>1140</v>
      </c>
      <c r="O17" s="194">
        <v>31</v>
      </c>
      <c r="P17" s="196">
        <v>79</v>
      </c>
      <c r="Q17" s="196">
        <v>55</v>
      </c>
      <c r="R17" s="196">
        <v>95</v>
      </c>
      <c r="S17" s="196">
        <v>416</v>
      </c>
      <c r="T17" s="196">
        <v>1787</v>
      </c>
      <c r="U17" s="196">
        <v>1746</v>
      </c>
      <c r="V17" s="196">
        <v>464</v>
      </c>
      <c r="W17" s="196">
        <v>263</v>
      </c>
      <c r="X17" s="202">
        <v>993</v>
      </c>
      <c r="Y17" s="215">
        <v>0</v>
      </c>
      <c r="Z17" s="196">
        <v>0</v>
      </c>
      <c r="AA17" s="196">
        <v>0</v>
      </c>
      <c r="AB17" s="196">
        <v>0</v>
      </c>
      <c r="AC17" s="196">
        <v>0</v>
      </c>
      <c r="AD17" s="196">
        <v>7</v>
      </c>
      <c r="AE17" s="196">
        <v>6</v>
      </c>
      <c r="AF17" s="202">
        <v>1</v>
      </c>
      <c r="AG17" s="215">
        <v>0</v>
      </c>
      <c r="AH17" s="196">
        <v>0</v>
      </c>
      <c r="AI17" s="196">
        <v>0</v>
      </c>
      <c r="AJ17" s="216">
        <v>0</v>
      </c>
      <c r="AK17" s="195">
        <v>0</v>
      </c>
      <c r="AL17" s="196">
        <v>21</v>
      </c>
      <c r="AM17" s="196">
        <v>21</v>
      </c>
      <c r="AN17" s="202">
        <v>0</v>
      </c>
      <c r="AO17" s="283">
        <v>2</v>
      </c>
      <c r="AP17" s="168">
        <v>2</v>
      </c>
      <c r="AQ17" s="168">
        <v>2</v>
      </c>
      <c r="AR17" s="168">
        <v>2</v>
      </c>
      <c r="AS17" s="381" t="s">
        <v>650</v>
      </c>
      <c r="AT17" s="216"/>
      <c r="AU17" s="215"/>
      <c r="AV17" s="216"/>
      <c r="AW17" s="215"/>
      <c r="AX17" s="216"/>
      <c r="AY17" s="136">
        <f t="shared" si="10"/>
        <v>416</v>
      </c>
      <c r="AZ17" s="137">
        <f t="shared" si="10"/>
        <v>1787</v>
      </c>
      <c r="BA17" s="137">
        <f t="shared" si="10"/>
        <v>1746</v>
      </c>
      <c r="BB17" s="137">
        <f t="shared" si="10"/>
        <v>464</v>
      </c>
      <c r="BC17" s="135">
        <f>IF(ISNUMBER(W17),W17," - ")</f>
        <v>263</v>
      </c>
      <c r="BD17" s="136">
        <f t="shared" ref="BD17:BD22" si="12">IF(ISNUMBER(BA17/AZ17),BA17/AZ17," - ")</f>
        <v>0.9770565193060996</v>
      </c>
      <c r="BE17" s="137">
        <f t="shared" ref="BE17:BE22" si="13">IF(ISNUMBER(BB17/BA17),BB17/BA17, " - ")</f>
        <v>0.26575028636884307</v>
      </c>
      <c r="BF17" s="137">
        <f t="shared" ref="BF17:BF22" si="14">IF(ISNUMBER(BC17/BA17),BC17/BA17, " - ")</f>
        <v>0.15063001145475372</v>
      </c>
      <c r="BG17" s="209">
        <f t="shared" si="11"/>
        <v>1.2617411225658648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208</v>
      </c>
      <c r="K18" s="196">
        <v>189</v>
      </c>
      <c r="L18" s="196">
        <v>89</v>
      </c>
      <c r="M18" s="196">
        <v>2</v>
      </c>
      <c r="N18" s="196">
        <v>105</v>
      </c>
      <c r="O18" s="196">
        <v>0</v>
      </c>
      <c r="P18" s="196">
        <v>0</v>
      </c>
      <c r="Q18" s="196">
        <v>0</v>
      </c>
      <c r="R18" s="196">
        <v>1</v>
      </c>
      <c r="S18" s="196">
        <v>70</v>
      </c>
      <c r="T18" s="196">
        <v>188</v>
      </c>
      <c r="U18" s="196">
        <v>189</v>
      </c>
      <c r="V18" s="196">
        <v>70</v>
      </c>
      <c r="W18" s="196">
        <v>3</v>
      </c>
      <c r="X18" s="202">
        <v>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70</v>
      </c>
      <c r="AZ18" s="139">
        <f t="shared" si="15"/>
        <v>188</v>
      </c>
      <c r="BA18" s="139">
        <f t="shared" si="15"/>
        <v>189</v>
      </c>
      <c r="BB18" s="139">
        <f t="shared" si="15"/>
        <v>70</v>
      </c>
      <c r="BC18" s="135">
        <f>IF(ISNUMBER(W18),W18," - ")</f>
        <v>3</v>
      </c>
      <c r="BD18" s="136">
        <f>IF(ISNUMBER(BA18/AZ18),BA18/AZ18," - ")</f>
        <v>1.0053191489361701</v>
      </c>
      <c r="BE18" s="137">
        <f>IF(ISNUMBER(BB18/BA18),BB18/BA18, " - ")</f>
        <v>0.37037037037037035</v>
      </c>
      <c r="BF18" s="137">
        <f>IF(ISNUMBER(BC18/BA18),BC18/BA18, " - ")</f>
        <v>1.5873015873015872E-2</v>
      </c>
      <c r="BG18" s="209">
        <f>IF(ISNUMBER((AY18+AZ18)/BA18),(AY18+AZ18)/BA18," - ")</f>
        <v>1.3650793650793651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534</v>
      </c>
      <c r="J23" s="197">
        <f t="shared" si="21"/>
        <v>2051</v>
      </c>
      <c r="K23" s="197">
        <f t="shared" si="21"/>
        <v>2116</v>
      </c>
      <c r="L23" s="197">
        <f t="shared" si="21"/>
        <v>485</v>
      </c>
      <c r="M23" s="197">
        <f t="shared" si="21"/>
        <v>329</v>
      </c>
      <c r="N23" s="197">
        <f t="shared" si="21"/>
        <v>1245</v>
      </c>
      <c r="O23" s="197">
        <f t="shared" si="21"/>
        <v>31</v>
      </c>
      <c r="P23" s="197">
        <f t="shared" si="21"/>
        <v>79</v>
      </c>
      <c r="Q23" s="197">
        <f t="shared" si="21"/>
        <v>55</v>
      </c>
      <c r="R23" s="197">
        <f t="shared" si="21"/>
        <v>96</v>
      </c>
      <c r="S23" s="197">
        <f t="shared" si="21"/>
        <v>486</v>
      </c>
      <c r="T23" s="197">
        <f t="shared" si="21"/>
        <v>1975</v>
      </c>
      <c r="U23" s="197">
        <f t="shared" si="21"/>
        <v>1935</v>
      </c>
      <c r="V23" s="197">
        <f t="shared" si="21"/>
        <v>534</v>
      </c>
      <c r="W23" s="197">
        <f t="shared" si="21"/>
        <v>266</v>
      </c>
      <c r="X23" s="197">
        <f t="shared" si="21"/>
        <v>1086</v>
      </c>
      <c r="Y23" s="197">
        <f t="shared" si="21"/>
        <v>0</v>
      </c>
      <c r="Z23" s="197">
        <f t="shared" si="21"/>
        <v>0</v>
      </c>
      <c r="AA23" s="197">
        <f t="shared" si="21"/>
        <v>0</v>
      </c>
      <c r="AB23" s="197">
        <f t="shared" si="21"/>
        <v>0</v>
      </c>
      <c r="AC23" s="197">
        <f t="shared" si="21"/>
        <v>0</v>
      </c>
      <c r="AD23" s="197">
        <f t="shared" si="21"/>
        <v>7</v>
      </c>
      <c r="AE23" s="197">
        <f t="shared" si="21"/>
        <v>6</v>
      </c>
      <c r="AF23" s="197">
        <f t="shared" si="21"/>
        <v>1</v>
      </c>
      <c r="AG23" s="197">
        <f t="shared" si="21"/>
        <v>0</v>
      </c>
      <c r="AH23" s="197">
        <f t="shared" si="21"/>
        <v>0</v>
      </c>
      <c r="AI23" s="197">
        <f t="shared" si="21"/>
        <v>0</v>
      </c>
      <c r="AJ23" s="197">
        <f t="shared" si="21"/>
        <v>0</v>
      </c>
      <c r="AK23" s="197">
        <f t="shared" si="21"/>
        <v>0</v>
      </c>
      <c r="AL23" s="197">
        <f t="shared" si="21"/>
        <v>21</v>
      </c>
      <c r="AM23" s="197">
        <f t="shared" si="21"/>
        <v>21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486</v>
      </c>
      <c r="AZ23" s="197">
        <f>SUBTOTAL(9,AZ15:AZ22)</f>
        <v>1975</v>
      </c>
      <c r="BA23" s="197">
        <f>SUBTOTAL(9,BA15:BA22)</f>
        <v>1935</v>
      </c>
      <c r="BB23" s="197">
        <f>SUBTOTAL(9,BB15:BB22)</f>
        <v>534</v>
      </c>
      <c r="BC23" s="197">
        <f>SUBTOTAL(9,BC15:BC22)</f>
        <v>266</v>
      </c>
      <c r="BD23" s="219">
        <f>IF(ISNUMBER(BA23/AZ23),BA23/AZ23," - ")</f>
        <v>0.97974683544303798</v>
      </c>
      <c r="BE23" s="220">
        <f>IF(ISNUMBER(BB23/BA23),BB23/BA23, " - ")</f>
        <v>0.27596899224806204</v>
      </c>
      <c r="BF23" s="220">
        <f>IF(ISNUMBER(BC23/BA23),BC23/BA23, " - ")</f>
        <v>0.13746770025839794</v>
      </c>
      <c r="BG23" s="221">
        <f>IF(ISNUMBER((AY23+AZ23)/BA23),(AY23+AZ23)/BA23," - ")</f>
        <v>1.2718346253229975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1249</v>
      </c>
      <c r="J31" s="144">
        <f t="shared" si="36"/>
        <v>3750</v>
      </c>
      <c r="K31" s="144">
        <f t="shared" si="36"/>
        <v>3440</v>
      </c>
      <c r="L31" s="144">
        <f t="shared" si="36"/>
        <v>1513</v>
      </c>
      <c r="M31" s="144">
        <f t="shared" si="36"/>
        <v>706</v>
      </c>
      <c r="N31" s="144">
        <f t="shared" si="36"/>
        <v>1831</v>
      </c>
      <c r="O31" s="144">
        <f t="shared" si="36"/>
        <v>521</v>
      </c>
      <c r="P31" s="144">
        <f t="shared" si="36"/>
        <v>555</v>
      </c>
      <c r="Q31" s="144">
        <f t="shared" si="36"/>
        <v>309</v>
      </c>
      <c r="R31" s="144">
        <f t="shared" si="36"/>
        <v>1634</v>
      </c>
      <c r="S31" s="144">
        <f t="shared" si="36"/>
        <v>1262</v>
      </c>
      <c r="T31" s="144">
        <f t="shared" si="36"/>
        <v>3474</v>
      </c>
      <c r="U31" s="144">
        <f t="shared" si="36"/>
        <v>3556</v>
      </c>
      <c r="V31" s="144">
        <f t="shared" si="36"/>
        <v>1249</v>
      </c>
      <c r="W31" s="144">
        <f t="shared" si="36"/>
        <v>734</v>
      </c>
      <c r="X31" s="144">
        <f t="shared" si="36"/>
        <v>1716</v>
      </c>
      <c r="Y31" s="144">
        <f t="shared" si="36"/>
        <v>43</v>
      </c>
      <c r="Z31" s="144">
        <f t="shared" si="36"/>
        <v>110</v>
      </c>
      <c r="AA31" s="144">
        <f t="shared" si="36"/>
        <v>118</v>
      </c>
      <c r="AB31" s="144">
        <f t="shared" si="36"/>
        <v>35</v>
      </c>
      <c r="AC31" s="144">
        <f t="shared" si="36"/>
        <v>0</v>
      </c>
      <c r="AD31" s="144">
        <f t="shared" si="36"/>
        <v>7</v>
      </c>
      <c r="AE31" s="144">
        <f t="shared" si="36"/>
        <v>6</v>
      </c>
      <c r="AF31" s="144">
        <f t="shared" si="36"/>
        <v>1</v>
      </c>
      <c r="AG31" s="144">
        <f t="shared" si="36"/>
        <v>43</v>
      </c>
      <c r="AH31" s="144">
        <f t="shared" si="36"/>
        <v>149</v>
      </c>
      <c r="AI31" s="144">
        <f t="shared" si="36"/>
        <v>143</v>
      </c>
      <c r="AJ31" s="144">
        <f t="shared" si="36"/>
        <v>43</v>
      </c>
      <c r="AK31" s="144">
        <f t="shared" si="36"/>
        <v>0</v>
      </c>
      <c r="AL31" s="144">
        <f t="shared" si="36"/>
        <v>21</v>
      </c>
      <c r="AM31" s="144">
        <f t="shared" si="36"/>
        <v>21</v>
      </c>
      <c r="AN31" s="224">
        <f t="shared" si="36"/>
        <v>0</v>
      </c>
      <c r="AO31" s="225">
        <v>3</v>
      </c>
      <c r="AP31" s="225">
        <v>2</v>
      </c>
      <c r="AQ31" s="225">
        <v>2</v>
      </c>
      <c r="AR31" s="225">
        <v>2</v>
      </c>
      <c r="AS31" s="166">
        <f t="shared" si="36"/>
        <v>0</v>
      </c>
      <c r="AT31" s="166">
        <f t="shared" si="36"/>
        <v>0</v>
      </c>
      <c r="AU31" s="225"/>
      <c r="AV31" s="226"/>
      <c r="AW31" s="225"/>
      <c r="AX31" s="226"/>
      <c r="AY31" s="143">
        <f>SUBTOTAL(9,AY9:AY30)</f>
        <v>1305</v>
      </c>
      <c r="AZ31" s="144">
        <f>SUBTOTAL(9,AZ9:AZ30)</f>
        <v>3623</v>
      </c>
      <c r="BA31" s="144">
        <f>SUBTOTAL(9,BA9:BA30)</f>
        <v>3699</v>
      </c>
      <c r="BB31" s="144">
        <f>SUBTOTAL(9,BB9:BB30)</f>
        <v>1292</v>
      </c>
      <c r="BC31" s="145">
        <f>SUBTOTAL(9,BC9:BC30)</f>
        <v>896</v>
      </c>
      <c r="BD31" s="227">
        <f>IF(ISNUMBER(BA31/AZ31),BA31/AZ31," - ")</f>
        <v>1.0209770908087221</v>
      </c>
      <c r="BE31" s="224">
        <f>IF(ISNUMBER(BB31/BA31),BB31/BA31, " - ")</f>
        <v>0.34928359015950255</v>
      </c>
      <c r="BF31" s="224">
        <f>IF(ISNUMBER(BC31/BA31),BC31/BA31, " - ")</f>
        <v>0.24222762908894296</v>
      </c>
      <c r="BG31" s="145">
        <f>IF(ISNUMBER((AY31+AZ31)/BA31),(AY31+AZ31)/BA31," - ")</f>
        <v>1.3322519599891862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Hrl9Dt7t5J5KneJKxW7XRIMXEZXnR+gE26d1xm40FXt40sOJ6ouZeSLnmYofD+EONCH4B/TwOGsbc0o0y5kcQ==" saltValue="kV5hPaGWv2SlAtNVh2qD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A3LOwQIkFZXqXrV/NY+bTrNvVmM8MFzlkaFR+3L4MNI4KRR6U9aHaQS5nlAhA43AWtNXbal7b3OgikR2LcDgA==" saltValue="B0fyGGO9XVz5YDGXJ0n0x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ARANDA DE DUERO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110</v>
      </c>
      <c r="O12" s="549"/>
      <c r="P12" s="549"/>
      <c r="Q12" s="547">
        <f>IF(ISNUMBER(Datos!P12),Datos!P12,0)</f>
        <v>476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1536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377</v>
      </c>
      <c r="BD12" s="693">
        <f>IF(ISNUMBER(Datos!N12),Datos!N12," - ")</f>
        <v>586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0.80022197558268593</v>
      </c>
      <c r="BH12" s="764">
        <f>IF(ISNUMBER(((IF(J_V="SI",Datos!L12/Datos!K12,(Datos!L12+Datos!AB12)/(Datos!K12+Datos!AA12)))*11)/factor_trimestre),((IF(J_V="SI",Datos!L12/Datos!K12,(Datos!L12+Datos!AB12)/(Datos!K12+Datos!AA12)))*11)/factor_trimestre," - ")</f>
        <v>8.0325936199722605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0.16894977168949771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3</v>
      </c>
      <c r="G14" s="1197">
        <f t="shared" si="1"/>
        <v>21</v>
      </c>
      <c r="H14" s="1198">
        <f t="shared" si="1"/>
        <v>0</v>
      </c>
      <c r="I14" s="1197">
        <f t="shared" si="1"/>
        <v>0</v>
      </c>
      <c r="J14" s="1164">
        <f t="shared" si="1"/>
        <v>0</v>
      </c>
      <c r="K14" s="1164">
        <f t="shared" si="1"/>
        <v>0</v>
      </c>
      <c r="L14" s="1198">
        <f t="shared" si="1"/>
        <v>0</v>
      </c>
      <c r="M14" s="1198">
        <f t="shared" si="1"/>
        <v>0</v>
      </c>
      <c r="N14" s="1198">
        <f t="shared" si="1"/>
        <v>110</v>
      </c>
      <c r="O14" s="1199">
        <f t="shared" si="1"/>
        <v>0</v>
      </c>
      <c r="P14" s="1199">
        <f t="shared" si="1"/>
        <v>0</v>
      </c>
      <c r="Q14" s="1198">
        <f t="shared" si="1"/>
        <v>476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254</v>
      </c>
      <c r="AD14" s="1198">
        <f t="shared" si="2"/>
        <v>0</v>
      </c>
      <c r="AE14" s="1198">
        <f t="shared" si="2"/>
        <v>0</v>
      </c>
      <c r="AF14" s="1198">
        <f t="shared" si="2"/>
        <v>10</v>
      </c>
      <c r="AG14" s="1198">
        <f t="shared" si="2"/>
        <v>0</v>
      </c>
      <c r="AH14" s="1198">
        <f t="shared" si="2"/>
        <v>35</v>
      </c>
      <c r="AI14" s="1198">
        <f t="shared" si="2"/>
        <v>0</v>
      </c>
      <c r="AJ14" s="1198">
        <f t="shared" si="2"/>
        <v>0</v>
      </c>
      <c r="AK14" s="1198">
        <f t="shared" si="2"/>
        <v>0</v>
      </c>
      <c r="AL14" s="1198">
        <f t="shared" si="2"/>
        <v>0</v>
      </c>
      <c r="AM14" s="1198">
        <f t="shared" si="2"/>
        <v>1538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377</v>
      </c>
      <c r="BD14" s="1198">
        <f t="shared" si="2"/>
        <v>586</v>
      </c>
      <c r="BE14" s="1198">
        <f t="shared" si="2"/>
        <v>0</v>
      </c>
      <c r="BF14" s="1198">
        <f t="shared" si="2"/>
        <v>0</v>
      </c>
      <c r="BG14" s="1198">
        <f>IF(ISNUMBER(Datos!K14/Datos!J14),Datos!K14/Datos!J14," - ")</f>
        <v>0.77928193054738082</v>
      </c>
      <c r="BH14" s="1202">
        <f>IF(ISNUMBER(((Datos!L14/Datos!K14)*11)/factor_trimestre),((Datos!L14/Datos!K14)*11)/factor_trimestre," - ")</f>
        <v>8.5407854984894254</v>
      </c>
      <c r="BI14" s="1198">
        <f>IF(ISNUMBER('Resol  Asuntos'!D14/NºAsuntos!G14),'Resol  Asuntos'!D14/NºAsuntos!G14," - ")</f>
        <v>0.26144244105409153</v>
      </c>
      <c r="BJ14" s="1198" t="str">
        <f>IF(ISNUMBER(Datos!CI14/Datos!CJ14),Datos!CI14/Datos!CJ14," - ")</f>
        <v xml:space="preserve"> - </v>
      </c>
      <c r="BK14" s="1198">
        <f>SUBTOTAL(9,BK8:BK13)</f>
        <v>0</v>
      </c>
      <c r="BL14" s="1198">
        <f>IF(ISNUMBER((I14-AB14+L14)/(F14)),(I14-AB14+L14)/(F14)," - ")</f>
        <v>0</v>
      </c>
      <c r="BM14" s="1203">
        <f>SUBTOTAL(9,BM9:BM13)</f>
        <v>0.16894977168949771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480</v>
      </c>
      <c r="G17" s="743">
        <f>IF(ISNUMBER(IF(D_I="SI",Datos!I17,Datos!I17+Datos!AC17)),IF(D_I="SI",Datos!I17,Datos!I17+Datos!AC17)," - ")</f>
        <v>464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1927</v>
      </c>
      <c r="AC17" s="240">
        <f>IF(ISNUMBER(Datos!Q17),Datos!Q17," - ")</f>
        <v>55</v>
      </c>
      <c r="AD17" s="374"/>
      <c r="AE17" s="562"/>
      <c r="AF17" s="741">
        <f>IF(ISNUMBER(IF(D_I="SI",Datos!L17,Datos!L17+Datos!AF17)),IF(D_I="SI",Datos!L17,Datos!L17+Datos!AF17)," - ")</f>
        <v>396</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327</v>
      </c>
      <c r="BD17" s="243">
        <f>IF(ISNUMBER(Datos!N17),Datos!N17," - ")</f>
        <v>1140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1.0455778621812262</v>
      </c>
      <c r="BH17" s="764">
        <f>IF(ISNUMBER(((IF(D_I="SI",Datos!L17/Datos!K17,(Datos!L17+Datos!AF17)/(Datos!K17+Datos!AE17)))*11)/factor_trimestre),((IF(D_I="SI",Datos!L17/Datos!K17,(Datos!L17+Datos!AF17)/(Datos!K17+Datos!AE17)))*11)/factor_trimestre," - ")</f>
        <v>2.2605085625324342</v>
      </c>
      <c r="BI17" s="266">
        <f>IF(ISNUMBER('Resol  Asuntos'!D17/NºAsuntos!G17),'Resol  Asuntos'!D17/NºAsuntos!G17," - ")</f>
        <v>0.16969382459782045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189</v>
      </c>
      <c r="AC18" s="547">
        <f>IF(ISNUMBER(Datos!Q18),Datos!Q18," - ")</f>
        <v>0</v>
      </c>
      <c r="AD18" s="549"/>
      <c r="AE18" s="562"/>
      <c r="AF18" s="551">
        <f>IF(ISNUMBER(Datos!L18),Datos!L18,"-")</f>
        <v>89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105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0.90865384615384615</v>
      </c>
      <c r="BH18" s="764">
        <f>IF(ISNUMBER(((IF(D_I="SI",Datos!L18/Datos!K18,(Datos!L18+Datos!AF18)/(Datos!K18+Datos!AE18)))*11)/factor_trimestre),((IF(D_I="SI",Datos!L18/Datos!K18,(Datos!L18+Datos!AF18)/(Datos!K18+Datos!AE18)))*11)/factor_trimestre," - ")</f>
        <v>5.1798941798941796</v>
      </c>
      <c r="BI18" s="763">
        <f>IF(ISNUMBER('Resol  Asuntos'!D18/NºAsuntos!G18),'Resol  Asuntos'!D18/NºAsuntos!G18," - ")</f>
        <v>1.0582010582010581E-2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480</v>
      </c>
      <c r="G23" s="1197">
        <f>SUBTOTAL(9,G16:G22)</f>
        <v>534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2116</v>
      </c>
      <c r="AC23" s="1198">
        <f t="shared" si="5"/>
        <v>55</v>
      </c>
      <c r="AD23" s="1198">
        <f t="shared" si="5"/>
        <v>0</v>
      </c>
      <c r="AE23" s="1198">
        <f t="shared" si="5"/>
        <v>0</v>
      </c>
      <c r="AF23" s="1198">
        <f t="shared" si="5"/>
        <v>485</v>
      </c>
      <c r="AG23" s="1198">
        <f t="shared" si="5"/>
        <v>0</v>
      </c>
      <c r="AH23" s="1198">
        <f t="shared" si="5"/>
        <v>0</v>
      </c>
      <c r="AI23" s="1198">
        <f t="shared" si="5"/>
        <v>0</v>
      </c>
      <c r="AJ23" s="1198">
        <f t="shared" si="5"/>
        <v>0</v>
      </c>
      <c r="AK23" s="1198">
        <f t="shared" si="5"/>
        <v>0</v>
      </c>
      <c r="AL23" s="1198">
        <f t="shared" si="5"/>
        <v>0</v>
      </c>
      <c r="AM23" s="1198">
        <f t="shared" si="5"/>
        <v>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329</v>
      </c>
      <c r="BD23" s="1198">
        <f t="shared" si="5"/>
        <v>1245</v>
      </c>
      <c r="BE23" s="1198">
        <f t="shared" si="5"/>
        <v>0</v>
      </c>
      <c r="BF23" s="1198">
        <f t="shared" si="5"/>
        <v>0</v>
      </c>
      <c r="BG23" s="1198">
        <f>IF(ISNUMBER(Datos!K23/Datos!J23),Datos!K23/Datos!J23," - ")</f>
        <v>1.0316918576304241</v>
      </c>
      <c r="BH23" s="1202">
        <f>IF(ISNUMBER(((Datos!L23/Datos!K23)*11)/factor_trimestre),((Datos!L23/Datos!K23)*11)/factor_trimestre," - ")</f>
        <v>2.5212665406427219</v>
      </c>
      <c r="BI23" s="1198">
        <f>SUBTOTAL(9,BI16:BI22)</f>
        <v>0.18027583517983103</v>
      </c>
      <c r="BJ23" s="1198">
        <f>SUBTOTAL(9,BJ16:BJ22)</f>
        <v>0</v>
      </c>
      <c r="BK23" s="1198">
        <f>SUBTOTAL(9,BK16:BK22)</f>
        <v>0</v>
      </c>
      <c r="BL23" s="1198">
        <f>IF(ISNUMBER((I23-AB23+L23)/(F23)),(I23-AB23+L23)/(F23)," - ")</f>
        <v>-4.4083333333333332</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483</v>
      </c>
      <c r="G31" s="1117">
        <f t="shared" si="18"/>
        <v>555</v>
      </c>
      <c r="H31" s="1119">
        <f t="shared" si="18"/>
        <v>0</v>
      </c>
      <c r="I31" s="1117">
        <f t="shared" si="18"/>
        <v>0</v>
      </c>
      <c r="J31" s="1119">
        <f t="shared" si="18"/>
        <v>0</v>
      </c>
      <c r="K31" s="1119">
        <f t="shared" si="18"/>
        <v>0</v>
      </c>
      <c r="L31" s="1180">
        <f t="shared" si="18"/>
        <v>0</v>
      </c>
      <c r="M31" s="1180">
        <f t="shared" si="18"/>
        <v>0</v>
      </c>
      <c r="N31" s="1180">
        <f t="shared" si="18"/>
        <v>110</v>
      </c>
      <c r="O31" s="1180">
        <f t="shared" si="18"/>
        <v>0</v>
      </c>
      <c r="P31" s="1180">
        <f t="shared" si="18"/>
        <v>0</v>
      </c>
      <c r="Q31" s="1119">
        <f t="shared" si="18"/>
        <v>555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2116</v>
      </c>
      <c r="AC31" s="1118">
        <f t="shared" si="19"/>
        <v>309</v>
      </c>
      <c r="AD31" s="1118">
        <f t="shared" si="19"/>
        <v>0</v>
      </c>
      <c r="AE31" s="1118">
        <f t="shared" si="19"/>
        <v>0</v>
      </c>
      <c r="AF31" s="1125">
        <f t="shared" si="19"/>
        <v>495</v>
      </c>
      <c r="AG31" s="1125">
        <f t="shared" si="19"/>
        <v>0</v>
      </c>
      <c r="AH31" s="1125">
        <f t="shared" si="19"/>
        <v>35</v>
      </c>
      <c r="AI31" s="1125">
        <f t="shared" si="19"/>
        <v>0</v>
      </c>
      <c r="AJ31" s="1118">
        <f t="shared" si="19"/>
        <v>0</v>
      </c>
      <c r="AK31" s="1125">
        <f t="shared" si="19"/>
        <v>0</v>
      </c>
      <c r="AL31" s="1125">
        <f t="shared" si="19"/>
        <v>0</v>
      </c>
      <c r="AM31" s="1125">
        <f t="shared" si="19"/>
        <v>1634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706</v>
      </c>
      <c r="BD31" s="1117">
        <f t="shared" si="19"/>
        <v>1831</v>
      </c>
      <c r="BE31" s="1117">
        <f t="shared" si="19"/>
        <v>0</v>
      </c>
      <c r="BF31" s="1127">
        <f t="shared" si="19"/>
        <v>0</v>
      </c>
      <c r="BG31" s="1223">
        <f>IF(ISNUMBER(Datos!K31/Datos!J31),Datos!K31/Datos!J31," - ")</f>
        <v>0.91733333333333333</v>
      </c>
      <c r="BH31" s="1223">
        <f>IF(ISNUMBER(((Datos!L31/Datos!K31)*11)/factor_trimestre),((Datos!L31/Datos!K31)*11)/factor_trimestre," - ")</f>
        <v>4.8380813953488371</v>
      </c>
      <c r="BI31" s="1103">
        <f>IF(ISNUMBER(Datos!J31/Datos!I31),Datos!J31/Datos!I31," - ")</f>
        <v>3.00240192153723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-4.3809523809523814</v>
      </c>
      <c r="BM31" s="1188">
        <f>IF(ISNUMBER((Datos!P31-Datos!Q31+R31)/(Datos!R31-Datos!P31+Datos!Q31-R31)),(Datos!P31-Datos!Q31+R31)/(Datos!R31-Datos!P31+Datos!Q31-R31)," - ")</f>
        <v>0.17723342939481268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247.0999797652764</v>
      </c>
      <c r="G33" s="674">
        <f>IF(ISNUMBER(STDEV(G8:G30)),STDEV(G8:G30),"-")</f>
        <v>234.59884707222892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971.93618740169995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189.06310359998099</v>
      </c>
      <c r="BD33" s="673"/>
      <c r="BE33" s="673">
        <f>IF(ISNUMBER(STDEV(BE8:BE30)),STDEV(BE8:BE30),"-")</f>
        <v>0</v>
      </c>
      <c r="BF33" s="678">
        <f>IF(ISNUMBER(STDEV(BF8:BF30)),STDEV(BF8:BF30),"-")</f>
        <v>0</v>
      </c>
      <c r="BG33" s="1052">
        <f>IF(ISNUMBER(STDEV(BG8:BG30)),STDEV(BG8:BG30),"-")</f>
        <v>0.3891153652676419</v>
      </c>
      <c r="BH33" s="1058">
        <f>IF(ISNUMBER(STDEV(BH8:BH30)),STDEV(BH8:BH30),"-")</f>
        <v>2.9556643122002235</v>
      </c>
      <c r="BI33" s="273">
        <f>IF(ISNUMBER(STDEV(BI8:BI30)),STDEV(BI8:BI30),"-")</f>
        <v>0.10494495562016491</v>
      </c>
      <c r="BJ33" s="244" t="str">
        <f>IF(ISNUMBER(BL33/BM33),BL33/BM33," - ")</f>
        <v xml:space="preserve"> - </v>
      </c>
      <c r="BK33" s="709"/>
      <c r="BL33" s="681">
        <f>IF(ISNUMBER(STDEV(BL8:BL30)),STDEV(BL8:BL30),"-")</f>
        <v>3.1171623937306969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YP00kwMyzQut4y7PA4uuyt/pxLqLSwxVdyUb8NSn2gq5psCsHDe0NisV2J+ACiiJzLtjtq+qf5jHwUv1W6u7A==" saltValue="CsH9f2t/WUS8ngkIgumj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ARANDA DE DUERO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254</v>
      </c>
      <c r="AA12" s="551" t="str">
        <f>IF(ISNUMBER(IF(J_V="SI",Datos!L12,Datos!L12+Datos!AB12)-IF(Monitorios="SI",Datos!CD12,0)),
                          IF(J_V="SI",Datos!L12,Datos!L12+Datos!AB12)-IF(Monitorios="SI",Datos!CD12,0),
                          " - ")</f>
        <v xml:space="preserve"> - </v>
      </c>
      <c r="AB12" s="549"/>
      <c r="AC12" s="549"/>
      <c r="AD12" s="563"/>
      <c r="AE12" s="563">
        <f>IF(ISNUMBER(Datos!R12),Datos!R12," - ")</f>
        <v>1536</v>
      </c>
      <c r="AF12" s="693" t="str">
        <f>IF(ISNUMBER(Datos!BV12),Datos!BV12," - ")</f>
        <v xml:space="preserve"> - </v>
      </c>
      <c r="AG12" s="552" t="str">
        <f>IF(ISNUMBER(Datos!DV12),Datos!DV12," - ")</f>
        <v xml:space="preserve"> - </v>
      </c>
      <c r="AH12" s="553"/>
      <c r="AI12" s="554"/>
      <c r="AJ12" s="552">
        <f>IF(ISNUMBER(Datos!M12),Datos!M12," - ")</f>
        <v>377</v>
      </c>
      <c r="AK12" s="693">
        <f>IF(ISNUMBER(Datos!N12),Datos!N12," - ")</f>
        <v>586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8.0325936199722605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0.16894977168949771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3</v>
      </c>
      <c r="G14" s="1197">
        <f>SUBTOTAL(9,G8:G13)</f>
        <v>21</v>
      </c>
      <c r="H14" s="1211"/>
      <c r="I14" s="1197">
        <f t="shared" ref="I14:N14" si="1">SUBTOTAL(9,I8:I13)</f>
        <v>0</v>
      </c>
      <c r="J14" s="1164">
        <f t="shared" si="1"/>
        <v>0</v>
      </c>
      <c r="K14" s="1211">
        <f t="shared" si="1"/>
        <v>0</v>
      </c>
      <c r="L14" s="1211">
        <f t="shared" si="1"/>
        <v>0</v>
      </c>
      <c r="M14" s="1211">
        <f t="shared" si="1"/>
        <v>0</v>
      </c>
      <c r="N14" s="1211">
        <f t="shared" si="1"/>
        <v>476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254</v>
      </c>
      <c r="AA14" s="1199">
        <f t="shared" si="3"/>
        <v>10</v>
      </c>
      <c r="AB14" s="1199">
        <f t="shared" si="3"/>
        <v>0</v>
      </c>
      <c r="AC14" s="1199">
        <f t="shared" si="3"/>
        <v>0</v>
      </c>
      <c r="AD14" s="1199">
        <f t="shared" si="3"/>
        <v>0</v>
      </c>
      <c r="AE14" s="1199">
        <f t="shared" si="3"/>
        <v>1538</v>
      </c>
      <c r="AF14" s="1211">
        <f t="shared" si="3"/>
        <v>0</v>
      </c>
      <c r="AG14" s="1211">
        <f t="shared" si="3"/>
        <v>0</v>
      </c>
      <c r="AH14" s="1211">
        <f t="shared" si="3"/>
        <v>0</v>
      </c>
      <c r="AI14" s="1211">
        <f t="shared" si="3"/>
        <v>0</v>
      </c>
      <c r="AJ14" s="1211">
        <f t="shared" si="3"/>
        <v>377</v>
      </c>
      <c r="AK14" s="1211">
        <f t="shared" si="3"/>
        <v>586</v>
      </c>
      <c r="AL14" s="1211">
        <f t="shared" si="3"/>
        <v>0</v>
      </c>
      <c r="AM14" s="1211">
        <f t="shared" si="3"/>
        <v>0</v>
      </c>
      <c r="AN14" s="1211">
        <f t="shared" si="3"/>
        <v>0</v>
      </c>
      <c r="AO14" s="1203">
        <f>IF(ISNUMBER(((NºAsuntos!I14/NºAsuntos!G14)*11)/factor_trimestre),((NºAsuntos!I14/NºAsuntos!G14)*11)/factor_trimestre," - ")</f>
        <v>8.1088765603328703</v>
      </c>
      <c r="AP14" s="1213" t="str">
        <f>IF(ISNUMBER(Datos!CI14/Datos!CJ14),Datos!CI14/Datos!CJ14," - ")</f>
        <v xml:space="preserve"> - </v>
      </c>
      <c r="AQ14" s="1236">
        <f t="shared" ref="AQ14:AV14" si="4">SUBTOTAL(9,AQ9:AQ13)</f>
        <v>0</v>
      </c>
      <c r="AR14" s="1236">
        <f t="shared" si="4"/>
        <v>0.16894977168949771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480</v>
      </c>
      <c r="G17" s="552">
        <f>IF(ISNUMBER(IF(D_I="SI",Datos!I17,Datos!I17+Datos!AC17)),IF(D_I="SI",Datos!I17,Datos!I17+Datos!AC17)," - ")</f>
        <v>464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1927</v>
      </c>
      <c r="Z17" s="805">
        <f>IF(ISNUMBER(Datos!Q17),Datos!Q17," - ")</f>
        <v>55</v>
      </c>
      <c r="AA17" s="551">
        <f>IF(ISNUMBER(IF(D_I="SI",Datos!L17,Datos!L17+Datos!AF17)),IF(D_I="SI",Datos!L17,Datos!L17+Datos!AF17)," - ")</f>
        <v>396</v>
      </c>
      <c r="AB17" s="549"/>
      <c r="AC17" s="549"/>
      <c r="AD17" s="563"/>
      <c r="AE17" s="563">
        <f>IF(ISNUMBER(Datos!R17),Datos!R17," - ")</f>
        <v>95</v>
      </c>
      <c r="AF17" s="693" t="str">
        <f>IF(ISNUMBER(Datos!BV17),Datos!BV17," - ")</f>
        <v xml:space="preserve"> - </v>
      </c>
      <c r="AG17" s="552"/>
      <c r="AH17" s="553"/>
      <c r="AI17" s="554"/>
      <c r="AJ17" s="552">
        <f>IF(ISNUMBER(Datos!M17),Datos!M17," - ")</f>
        <v>327</v>
      </c>
      <c r="AK17" s="693">
        <f>IF(ISNUMBER(Datos!N17),Datos!N17," - ")</f>
        <v>1140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2.2605085625324342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189</v>
      </c>
      <c r="Z18" s="805">
        <f>IF(ISNUMBER(Datos!Q18),Datos!Q18," - ")</f>
        <v>0</v>
      </c>
      <c r="AA18" s="551">
        <f>IF(ISNUMBER(Datos!L18),Datos!L18,"-")</f>
        <v>89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105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5.1798941798941796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480</v>
      </c>
      <c r="G23" s="1197">
        <f>SUBTOTAL(9,G16:G22)</f>
        <v>534</v>
      </c>
      <c r="H23" s="1240">
        <f>SUBTOTAL(9,H16:H22)</f>
        <v>0</v>
      </c>
      <c r="I23" s="1217">
        <f>SUBTOTAL(9,I16:I22)</f>
        <v>0</v>
      </c>
      <c r="J23" s="1164">
        <f>SUBTOTAL(9,J15:J22)</f>
        <v>0</v>
      </c>
      <c r="K23" s="1240">
        <f t="shared" ref="K23:S23" si="5">SUBTOTAL(9,K16:K22)</f>
        <v>0</v>
      </c>
      <c r="L23" s="1240">
        <f t="shared" si="5"/>
        <v>0</v>
      </c>
      <c r="M23" s="1240">
        <f t="shared" si="5"/>
        <v>0</v>
      </c>
      <c r="N23" s="1240">
        <f t="shared" si="5"/>
        <v>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2116</v>
      </c>
      <c r="Z23" s="1240">
        <f t="shared" si="6"/>
        <v>55</v>
      </c>
      <c r="AA23" s="1240">
        <f t="shared" si="6"/>
        <v>485</v>
      </c>
      <c r="AB23" s="1240">
        <f t="shared" si="6"/>
        <v>0</v>
      </c>
      <c r="AC23" s="1240">
        <f t="shared" si="6"/>
        <v>0</v>
      </c>
      <c r="AD23" s="1240">
        <f t="shared" si="6"/>
        <v>0</v>
      </c>
      <c r="AE23" s="1240">
        <f t="shared" si="6"/>
        <v>96</v>
      </c>
      <c r="AF23" s="1240">
        <f t="shared" si="6"/>
        <v>0</v>
      </c>
      <c r="AG23" s="1240">
        <f t="shared" si="6"/>
        <v>0</v>
      </c>
      <c r="AH23" s="1240">
        <f t="shared" si="6"/>
        <v>0</v>
      </c>
      <c r="AI23" s="1240">
        <f t="shared" si="6"/>
        <v>0</v>
      </c>
      <c r="AJ23" s="1240">
        <f t="shared" si="6"/>
        <v>329</v>
      </c>
      <c r="AK23" s="1240">
        <f t="shared" si="6"/>
        <v>1245</v>
      </c>
      <c r="AL23" s="1240">
        <f t="shared" si="6"/>
        <v>0</v>
      </c>
      <c r="AM23" s="1240">
        <f t="shared" si="6"/>
        <v>0</v>
      </c>
      <c r="AN23" s="1240">
        <f t="shared" si="6"/>
        <v>0</v>
      </c>
      <c r="AO23" s="1242">
        <f>IF(ISNUMBER(((NºAsuntos!I23/NºAsuntos!G23)*11)/factor_trimestre),((NºAsuntos!I23/NºAsuntos!G23)*11)/factor_trimestre," - ")</f>
        <v>2.5212665406427219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483</v>
      </c>
      <c r="G31" s="1117">
        <f t="shared" si="12"/>
        <v>555</v>
      </c>
      <c r="H31" s="1118">
        <f t="shared" si="12"/>
        <v>0</v>
      </c>
      <c r="I31" s="1117">
        <f t="shared" si="12"/>
        <v>0</v>
      </c>
      <c r="J31" s="1119">
        <f t="shared" si="12"/>
        <v>0</v>
      </c>
      <c r="K31" s="1117">
        <f t="shared" si="12"/>
        <v>0</v>
      </c>
      <c r="L31" s="1120">
        <f t="shared" si="12"/>
        <v>0</v>
      </c>
      <c r="M31" s="1117">
        <f t="shared" si="12"/>
        <v>0</v>
      </c>
      <c r="N31" s="1118">
        <f t="shared" si="12"/>
        <v>555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2116</v>
      </c>
      <c r="Z31" s="1124">
        <f t="shared" si="13"/>
        <v>309</v>
      </c>
      <c r="AA31" s="1125">
        <f t="shared" si="13"/>
        <v>495</v>
      </c>
      <c r="AB31" s="1125">
        <f t="shared" si="13"/>
        <v>0</v>
      </c>
      <c r="AC31" s="1125">
        <f t="shared" si="13"/>
        <v>0</v>
      </c>
      <c r="AD31" s="1126">
        <f t="shared" si="13"/>
        <v>0</v>
      </c>
      <c r="AE31" s="1126">
        <f t="shared" si="13"/>
        <v>1634</v>
      </c>
      <c r="AF31" s="1127">
        <f t="shared" si="13"/>
        <v>0</v>
      </c>
      <c r="AG31" s="1128">
        <f t="shared" si="13"/>
        <v>0</v>
      </c>
      <c r="AH31" s="1129">
        <f t="shared" si="13"/>
        <v>0</v>
      </c>
      <c r="AI31" s="1127">
        <f t="shared" si="13"/>
        <v>0</v>
      </c>
      <c r="AJ31" s="1117">
        <f t="shared" si="13"/>
        <v>706</v>
      </c>
      <c r="AK31" s="1117">
        <f t="shared" si="13"/>
        <v>1831</v>
      </c>
      <c r="AL31" s="1117">
        <f t="shared" si="13"/>
        <v>0</v>
      </c>
      <c r="AM31" s="1130">
        <f t="shared" si="13"/>
        <v>0</v>
      </c>
      <c r="AN31" s="1120">
        <f>IF(ISNUMBER(Datos!K31/Datos!J31),Datos!K31/Datos!J31," - ")</f>
        <v>0.91733333333333333</v>
      </c>
      <c r="AO31" s="1120">
        <f>IF(ISNUMBER(FIND("06",Criterios!A8,1)),(IF(ISNUMBER(((Datos!R31/Datos!Q31)*11)/factor_trimestre),((Datos!R31/Datos!Q31)*11)/factor_trimestre," - ")),(IF(ISNUMBER(((Datos!L31/Datos!K31)*11)/factor_trimestre),((Datos!L31/Datos!K31)*11)/factor_trimestre," - ")))</f>
        <v>4.8380813953488371</v>
      </c>
      <c r="AP31" s="1131" t="str">
        <f>IF(ISNUMBER(Datos!CI31/Datos!CJ31),Datos!CI31/Datos!CJ31," - ")</f>
        <v xml:space="preserve"> - </v>
      </c>
      <c r="AQ31" s="1131">
        <f>IF(OR(ISNUMBER(FIND("01",Criterios!A8,1)),ISNUMBER(FIND("02",Criterios!A8,1)),ISNUMBER(FIND("03",Criterios!A8,1)),ISNUMBER(FIND("04",Criterios!A8,1))),(J31-Y31+K31)/(F31-K31),(I31-Y31+K31)/(F31-K31))</f>
        <v>-4.3809523809523814</v>
      </c>
      <c r="AR31" s="1131">
        <f>IF(ISNUMBER((Datos!P31-Datos!Q31+O31)/(Datos!R31-Datos!P31+Datos!Q31-O31)),(Datos!P31-Datos!Q31+O31)/(Datos!R31-Datos!P31+Datos!Q31-O31)," - ")</f>
        <v>0.17723342939481268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247.0999797652764</v>
      </c>
      <c r="G33" s="674">
        <f>IF(ISNUMBER(STDEV(G8:G30)),STDEV(G8:G30),"-")</f>
        <v>234.59884707222892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189.06310359998099</v>
      </c>
      <c r="AK33" s="276"/>
      <c r="AL33" s="276">
        <f>IF(ISNUMBER(STDEV(AL8:AL30)),STDEV(AL8:AL30),"-")</f>
        <v>0</v>
      </c>
      <c r="AM33" s="278">
        <f>IF(ISNUMBER(STDEV(AM8:AM30)),STDEV(AM8:AM30),"-")</f>
        <v>0</v>
      </c>
      <c r="AN33" s="660">
        <f>IF(ISNUMBER(STDEV(AN8:AN30)),STDEV(AN8:AN30),"-")</f>
        <v>0</v>
      </c>
      <c r="AO33" s="661">
        <f>IF(ISNUMBER(STDEV(AO8:AO30)),STDEV(AO8:AO30),"-")</f>
        <v>2.841639008152161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2xm277a5CeKEVq2jyvSu9DLB2w4HtaAo1kAJ3+XsFsO0xTyO5Ron5QWBPLppyIpU7AVG1UFK/dB8+hWPwORcA==" saltValue="jD1qx1QCSCVJYHsO+kFN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Y2dZMC6W+/phlcvLH1lcygP0R8L9DprkjXkaIXbYGVJO6PvnqktVpk06KEoE/BcUrrTusQI/C4i36AQOzfkjw==" saltValue="cmGS85kldovkSmgbY46M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6PydHjCHkiV17orWCfe9kIsvYS66tcsmCpdtbn5reKtdcFmW9NR8D8so6Iwr5lfzSY8IvNMRy0il5rrU+qa/A==" saltValue="Plr57I6iIbqmf5hEzhVN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ARANDA DE DUERO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0.26144244105409153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0.18486772295931234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b4eSOSma0Onkxj6vH2lUt5i5HCd0t0gLgVrhRNXBUMw3VEehsoocCX/dQA2B8aZQh3vTvyH9GWBCCI3LKJzXQ==" saltValue="ZXGQ5Ezg9UFo/2DBqBEE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6QATL0bhEniopogTZ3WlStZq2b18C9Vzn9A4R40iT/vtNUm9lNXpEwYKX7NywedVlcy9xPTxnpqL0Kb6cszRQ==" saltValue="JQ5Al8cnxAGZMjQ/5HZ4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ARANDA DE DUERO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7</v>
      </c>
      <c r="F10" s="452">
        <f>IF(ISNUMBER(E10/B10),E10/B10," - ")</f>
        <v>7</v>
      </c>
      <c r="G10" s="451">
        <f>IF(ISNUMBER(Datos!K10),Datos!K10," - ")</f>
        <v>0</v>
      </c>
      <c r="H10" s="452">
        <f>IF(ISNUMBER(G10/B10),G10/B10," - ")</f>
        <v>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737</v>
      </c>
      <c r="D12" s="452">
        <f>IF(ISNUMBER(C12/Datos!BH12),C12/Datos!BH12," - ")</f>
        <v>368.5</v>
      </c>
      <c r="E12" s="451">
        <f>IF(ISNUMBER(IF(J_V="SI",Datos!J12,Datos!J12+Datos!Z12)),IF(J_V="SI",Datos!J12,Datos!J12+Datos!Z12)," - ")</f>
        <v>1802</v>
      </c>
      <c r="F12" s="452">
        <f>IF(ISNUMBER(E12/B12),E12/B12," - ")</f>
        <v>901</v>
      </c>
      <c r="G12" s="451">
        <f>IF(ISNUMBER(IF(J_V="SI",Datos!K12,Datos!K12+Datos!AA12)),IF(J_V="SI",Datos!K12,Datos!K12+Datos!AA12)," - ")</f>
        <v>1442</v>
      </c>
      <c r="H12" s="452">
        <f>IF(ISNUMBER(G12/B12),G12/B12," - ")</f>
        <v>721</v>
      </c>
      <c r="I12" s="451">
        <f>IF(ISNUMBER(IF(J_V="SI",Datos!L12,Datos!L12+Datos!AB12)),IF(J_V="SI",Datos!L12,Datos!L12+Datos!AB12)," - ")</f>
        <v>1053</v>
      </c>
      <c r="J12" s="452">
        <f>IF(ISNUMBER(I12/B12),I12/B12," - ")</f>
        <v>526.5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758</v>
      </c>
      <c r="D14" s="1147" t="str">
        <f>IF(ISNUMBER(C14/Datos!BI14),C14/Datos!BI14," - ")</f>
        <v xml:space="preserve"> - </v>
      </c>
      <c r="E14" s="1146">
        <f>SUBTOTAL(9,E8:E13)</f>
        <v>1809</v>
      </c>
      <c r="F14" s="1147">
        <f>IF(ISNUMBER(E14/B14),E14/B14," - ")</f>
        <v>904.5</v>
      </c>
      <c r="G14" s="1146">
        <f>SUBTOTAL(9,G8:G13)</f>
        <v>1442</v>
      </c>
      <c r="H14" s="1147">
        <f>IF(ISNUMBER(G14/B14),G14/B14," - ")</f>
        <v>721</v>
      </c>
      <c r="I14" s="1146">
        <f>SUBTOTAL(9,I8:I13)</f>
        <v>1063</v>
      </c>
      <c r="J14" s="1147">
        <f>IF(ISNUMBER(I14/B14),I14/B14," - ")</f>
        <v>531.5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464</v>
      </c>
      <c r="D17" s="452">
        <f>IF(ISNUMBER(C17/Datos!BH17),C17/Datos!BH17," - ")</f>
        <v>232</v>
      </c>
      <c r="E17" s="451">
        <f>IF(ISNUMBER(IF(D_I="SI",Datos!J17,Datos!J17+Datos!AD17)),IF(D_I="SI",Datos!J17,Datos!J17+Datos!AD17)," - ")</f>
        <v>1843</v>
      </c>
      <c r="F17" s="452">
        <f>IF(ISNUMBER(E17/B17),E17/B17," - ")</f>
        <v>921.5</v>
      </c>
      <c r="G17" s="451">
        <f>IF(ISNUMBER(IF(D_I="SI",Datos!K17,Datos!K17+Datos!AE17)),IF(D_I="SI",Datos!K17,Datos!K17+Datos!AE17)," - ")</f>
        <v>1927</v>
      </c>
      <c r="H17" s="452">
        <f>IF(ISNUMBER(G17/B17),G17/B17," - ")</f>
        <v>963.5</v>
      </c>
      <c r="I17" s="451">
        <f>IF(ISNUMBER(IF(D_I="SI",Datos!L17,Datos!L17+Datos!AF17)),IF(D_I="SI",Datos!L17,Datos!L17+Datos!AF17)," - ")</f>
        <v>396</v>
      </c>
      <c r="J17" s="452">
        <f>IF(ISNUMBER(I17/B17),I17/B17," - ")</f>
        <v>198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208</v>
      </c>
      <c r="F18" s="452">
        <f>IF(ISNUMBER(E18/B18),E18/B18," - ")</f>
        <v>208</v>
      </c>
      <c r="G18" s="451">
        <f>IF(ISNUMBER(IF(D_I="SI",Datos!K18,Datos!K18+Datos!AE18)),IF(D_I="SI",Datos!K18,Datos!K18+Datos!AE18)," - ")</f>
        <v>189</v>
      </c>
      <c r="H18" s="452">
        <f>IF(ISNUMBER(G18/B18),G18/B18," - ")</f>
        <v>189</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534</v>
      </c>
      <c r="D23" s="1147" t="str">
        <f>IF(ISNUMBER(C23/Datos!BI23),C23/Datos!BI23," - ")</f>
        <v xml:space="preserve"> - </v>
      </c>
      <c r="E23" s="1146">
        <f>SUBTOTAL(9,E15:E22)</f>
        <v>2051</v>
      </c>
      <c r="F23" s="1147">
        <f>IF(ISNUMBER(E23/B23),E23/B23," - ")</f>
        <v>1025.5</v>
      </c>
      <c r="G23" s="1146">
        <f>SUBTOTAL(9,G15:G22)</f>
        <v>2116</v>
      </c>
      <c r="H23" s="1147">
        <f>IF(ISNUMBER(G23/B23),G23/B23," - ")</f>
        <v>1058</v>
      </c>
      <c r="I23" s="1146">
        <f>SUBTOTAL(9,I15:I22)</f>
        <v>485</v>
      </c>
      <c r="J23" s="1147">
        <f>IF(ISNUMBER(I23/B23),I23/B23," - ")</f>
        <v>242.5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1292</v>
      </c>
      <c r="D31" s="1085" t="str">
        <f>IF(ISNUMBER(C31/Datos!BI31),C31/Datos!BI31," - ")</f>
        <v xml:space="preserve"> - </v>
      </c>
      <c r="E31" s="1084">
        <f>SUBTOTAL(9,E9:E30)</f>
        <v>3860</v>
      </c>
      <c r="F31" s="1085">
        <f>IF(ISNUMBER(E31/B31),E31/B31," - ")</f>
        <v>1930</v>
      </c>
      <c r="G31" s="1084">
        <f>SUBTOTAL(9,G9:G30)</f>
        <v>3558</v>
      </c>
      <c r="H31" s="1085">
        <f>IF(ISNUMBER(G31/B31),G31/B31," - ")</f>
        <v>1779</v>
      </c>
      <c r="I31" s="1084">
        <f>SUBTOTAL(9,I9:I30)</f>
        <v>1548</v>
      </c>
      <c r="J31" s="1085">
        <f>IF(ISNUMBER(I31/B31),I31/B31," - ")</f>
        <v>774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k79IFNU4YABmOjKKfGIfy2gX89viOlkY2xit4K60/zWU/E82vgkDUpYRIPhqHZnAb0BplwZLyDw2zHXi8uX+w==" saltValue="6H1+GXriE1xjJWTNDyZ+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ARANDA DE DUERO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377</v>
      </c>
      <c r="AM12" s="914">
        <f>IF(ISNUMBER(Datos!N12+DatosP!N17),Datos!N12+DatosP!N17," - ")</f>
        <v>586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8.0325936199722605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0.16894977168949771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21</v>
      </c>
      <c r="H14" s="1256">
        <f t="shared" si="0"/>
        <v>0</v>
      </c>
      <c r="I14" s="1258">
        <f t="shared" si="0"/>
        <v>0</v>
      </c>
      <c r="J14" s="1257">
        <f t="shared" si="0"/>
        <v>0</v>
      </c>
      <c r="K14" s="1257">
        <f t="shared" si="0"/>
        <v>0</v>
      </c>
      <c r="L14" s="1259">
        <f t="shared" si="0"/>
        <v>0</v>
      </c>
      <c r="M14" s="1259">
        <f t="shared" si="0"/>
        <v>0</v>
      </c>
      <c r="N14" s="1257">
        <f t="shared" si="0"/>
        <v>476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254</v>
      </c>
      <c r="AE14" s="1257">
        <f t="shared" si="1"/>
        <v>0</v>
      </c>
      <c r="AF14" s="1257">
        <f t="shared" si="1"/>
        <v>10</v>
      </c>
      <c r="AG14" s="1257">
        <f t="shared" si="1"/>
        <v>0</v>
      </c>
      <c r="AH14" s="1257">
        <f t="shared" si="1"/>
        <v>1536</v>
      </c>
      <c r="AI14" s="1257">
        <f t="shared" si="1"/>
        <v>0</v>
      </c>
      <c r="AJ14" s="1257">
        <f t="shared" si="1"/>
        <v>0</v>
      </c>
      <c r="AK14" s="1257">
        <f t="shared" si="1"/>
        <v>0</v>
      </c>
      <c r="AL14" s="1257">
        <f t="shared" si="1"/>
        <v>377</v>
      </c>
      <c r="AM14" s="1257">
        <f t="shared" si="1"/>
        <v>586</v>
      </c>
      <c r="AN14" s="1257">
        <f t="shared" si="1"/>
        <v>0</v>
      </c>
      <c r="AO14" s="1257">
        <f t="shared" si="1"/>
        <v>0</v>
      </c>
      <c r="AP14" s="1262">
        <f>IF(ISNUMBER(((Datos!L14/Datos!K14)*11)/factor_trimestre),((Datos!L14/Datos!K14)*11)/factor_trimestre," - ")</f>
        <v>8.5407854984894254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0.16894977168949771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2.5212665406427219</v>
      </c>
      <c r="AQ23" s="1262">
        <f>IF(ISNUMBER(((Datos!M23/Datos!L23)*11)/factor_trimestre),((Datos!M23/Datos!L23)*11)/factor_trimestre," - ")</f>
        <v>7.4618556701030929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-7.7798861480075907E-2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21</v>
      </c>
      <c r="H31" s="1278">
        <f t="shared" si="8"/>
        <v>0</v>
      </c>
      <c r="I31" s="1279">
        <f t="shared" si="8"/>
        <v>0</v>
      </c>
      <c r="J31" s="1280">
        <f t="shared" si="8"/>
        <v>0</v>
      </c>
      <c r="K31" s="1280">
        <f t="shared" si="8"/>
        <v>0</v>
      </c>
      <c r="L31" s="1280">
        <f t="shared" si="8"/>
        <v>0</v>
      </c>
      <c r="M31" s="1280">
        <f t="shared" si="8"/>
        <v>0</v>
      </c>
      <c r="N31" s="1279">
        <f t="shared" si="8"/>
        <v>476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254</v>
      </c>
      <c r="AE31" s="1284">
        <f t="shared" si="9"/>
        <v>0</v>
      </c>
      <c r="AF31" s="1285">
        <f t="shared" si="9"/>
        <v>10</v>
      </c>
      <c r="AG31" s="1285">
        <f t="shared" si="9"/>
        <v>0</v>
      </c>
      <c r="AH31" s="1285">
        <f t="shared" si="9"/>
        <v>1536</v>
      </c>
      <c r="AI31" s="1285">
        <f t="shared" si="9"/>
        <v>0</v>
      </c>
      <c r="AJ31" s="1286">
        <f t="shared" si="9"/>
        <v>0</v>
      </c>
      <c r="AK31" s="1286">
        <f t="shared" si="9"/>
        <v>0</v>
      </c>
      <c r="AL31" s="1278">
        <f t="shared" si="9"/>
        <v>377</v>
      </c>
      <c r="AM31" s="1278">
        <f t="shared" si="9"/>
        <v>586</v>
      </c>
      <c r="AN31" s="1278">
        <f t="shared" si="9"/>
        <v>0</v>
      </c>
      <c r="AO31" s="1278">
        <f t="shared" si="9"/>
        <v>0</v>
      </c>
      <c r="AP31" s="1278">
        <f>IF(ISNUMBER(((Datos!L31/Datos!K31)*11)/factor_trimestre),((Datos!L31/Datos!K31)*11)/factor_trimestre," - ")</f>
        <v>4.8380813953488371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0.17723342939481268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194.6819628693595</v>
      </c>
      <c r="AM33" s="1006"/>
      <c r="AN33" s="1006">
        <f>IF(ISNUMBER(STDEV(AN8:AN30)),STDEV(AN8:AN30),"-")</f>
        <v>0</v>
      </c>
      <c r="AO33" s="1012">
        <f>IF(ISNUMBER(STDEV(AO8:AO30)),STDEV(AO8:AO30),"-")</f>
        <v>0</v>
      </c>
      <c r="AP33" s="1065">
        <f>IF(ISNUMBER(STDEV(AP8:AP30)),STDEV(AP8:AP30),"-")</f>
        <v>3.3383527286327337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KrCfGRc8mn6UNjfiln6uJ4TkkEieA8USRvHVJ95Ivg9EicUI5dMyywRiZPfbEwvfyS/nE/w0AUEPhsUTIak4A==" saltValue="pe2LS5o7m8NFugl3lQ8y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ARANDA DE DUERO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X/6xeJLH/AywCNzT2PgSbIkmDxKVdBKBuXvAeOzp+4Bmi6keza3gv2blfHOBqMkIlJ9oiMARrkGNd01dPvGwQ==" saltValue="K0jjUNnYj7TxHJpYWDnO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ARANDA DE DUERO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377</v>
      </c>
      <c r="E12" s="452">
        <f t="shared" si="0"/>
        <v>188.5</v>
      </c>
      <c r="F12" s="451">
        <f>IF(ISNUMBER(Datos!N12),Datos!N12," - ")</f>
        <v>586</v>
      </c>
      <c r="G12" s="452">
        <f t="shared" si="1"/>
        <v>293</v>
      </c>
      <c r="H12" s="451">
        <f>IF(ISNUMBER(Datos!O12),Datos!O12," - ")</f>
        <v>490</v>
      </c>
      <c r="I12" s="452">
        <f t="shared" si="2"/>
        <v>245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377</v>
      </c>
      <c r="E14" s="1147">
        <f t="shared" si="0"/>
        <v>125.66666666666667</v>
      </c>
      <c r="F14" s="1146">
        <f>SUBTOTAL(9,F9:F13)</f>
        <v>586</v>
      </c>
      <c r="G14" s="1147">
        <f t="shared" si="1"/>
        <v>195.33333333333334</v>
      </c>
      <c r="H14" s="1146">
        <f>SUBTOTAL(9,H9:H13)</f>
        <v>490</v>
      </c>
      <c r="I14" s="1147">
        <f>IF(ISNUMBER(H14/B14),H14/B14," - ")</f>
        <v>163.33333333333334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327</v>
      </c>
      <c r="E17" s="452">
        <f t="shared" si="3"/>
        <v>163.5</v>
      </c>
      <c r="F17" s="451">
        <f>IF(ISNUMBER(Datos!N17),Datos!N17," - ")</f>
        <v>1140</v>
      </c>
      <c r="G17" s="452">
        <f t="shared" si="4"/>
        <v>570</v>
      </c>
      <c r="H17" s="451">
        <f>IF(ISNUMBER(Datos!O17),Datos!O17," - ")</f>
        <v>31</v>
      </c>
      <c r="I17" s="452">
        <f t="shared" si="5"/>
        <v>15.5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105</v>
      </c>
      <c r="G18" s="452">
        <f>IF(ISNUMBER(F18/B18),F18/B18," - ")</f>
        <v>105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329</v>
      </c>
      <c r="E23" s="1147">
        <f t="shared" si="3"/>
        <v>109.66666666666667</v>
      </c>
      <c r="F23" s="1146">
        <f>SUBTOTAL(9,F16:F22)</f>
        <v>1245</v>
      </c>
      <c r="G23" s="1147">
        <f t="shared" si="4"/>
        <v>415</v>
      </c>
      <c r="H23" s="1146">
        <f>SUBTOTAL(9,H16:H22)</f>
        <v>31</v>
      </c>
      <c r="I23" s="1147">
        <f>IF(ISNUMBER(H23/B23),H23/B23," - ")</f>
        <v>10.333333333333334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706</v>
      </c>
      <c r="E31" s="1085">
        <f>IF(ISNUMBER(D31/B31),D31/B31," - ")</f>
        <v>353</v>
      </c>
      <c r="F31" s="1084">
        <f>SUBTOTAL(9,F8:F30)</f>
        <v>1831</v>
      </c>
      <c r="G31" s="1085">
        <f>IF(ISNUMBER(F31/B31),F31/B31," - ")</f>
        <v>915.5</v>
      </c>
      <c r="H31" s="1084">
        <f>SUBTOTAL(9,H8:H30)</f>
        <v>521</v>
      </c>
      <c r="I31" s="1085">
        <f>IF(ISNUMBER(H31/B31),H31/B31," - ")</f>
        <v>260.5</v>
      </c>
    </row>
    <row r="34" spans="1:1">
      <c r="A34" s="439" t="str">
        <f>Criterios!A4</f>
        <v>Fecha Informe: 14 abr. 2023</v>
      </c>
    </row>
    <row r="39" spans="1:1">
      <c r="A39" s="462"/>
    </row>
  </sheetData>
  <sheetProtection algorithmName="SHA-512" hashValue="uQU1M8GBVLwvgH0h3VsqWOZ8gEMilqvw2nk9azbytjrSOsLtgqQjzgl/e+RTO7sdNeaQKwdfhXgcbKqYEYKOUg==" saltValue="Uh2hHsFVGeo8IViiY0Zc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ARANDA DE DUERO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476</v>
      </c>
      <c r="C12" s="489">
        <f>IF(ISNUMBER(Datos!Q12),Datos!Q12," - ")</f>
        <v>254</v>
      </c>
      <c r="D12" s="456">
        <f>IF(ISNUMBER(Datos!R12),Datos!R12," - ")</f>
        <v>1536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476</v>
      </c>
      <c r="C14" s="1150">
        <f>SUBTOTAL(9,C9:C13)</f>
        <v>254</v>
      </c>
      <c r="D14" s="1148">
        <f>SUBTOTAL(9,D9:D13)</f>
        <v>1538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79</v>
      </c>
      <c r="C17" s="489">
        <f>IF(ISNUMBER(Datos!Q17),Datos!Q17," - ")</f>
        <v>55</v>
      </c>
      <c r="D17" s="456">
        <f>IF(ISNUMBER(Datos!R17),Datos!R17," - ")</f>
        <v>95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79</v>
      </c>
      <c r="C23" s="1150">
        <f>SUBTOTAL(9,C16:C22)</f>
        <v>55</v>
      </c>
      <c r="D23" s="1148">
        <f>SUBTOTAL(9,D16:D22)</f>
        <v>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555</v>
      </c>
      <c r="C31" s="1089">
        <f>SUBTOTAL(9,C8:C30)</f>
        <v>309</v>
      </c>
      <c r="D31" s="1090">
        <f>SUBTOTAL(9,D8:D30)</f>
        <v>1634</v>
      </c>
    </row>
    <row r="32" spans="1:4" ht="7.5" customHeight="1"/>
    <row r="33" spans="1:1" ht="6" customHeight="1"/>
    <row r="34" spans="1:1">
      <c r="A34" s="439" t="str">
        <f>Criterios!A4</f>
        <v>Fecha Informe: 14 abr. 2023</v>
      </c>
    </row>
    <row r="39" spans="1:1">
      <c r="A39" s="462"/>
    </row>
  </sheetData>
  <sheetProtection algorithmName="SHA-512" hashValue="LfDdwwRBN+c/KvA2c/5+P63iT2dRCHkMiGa0w7XP9VHQGWlorNUSpbjFdE6sEc4SpCbXwV8eGscOeIUU8hcA+Q==" saltValue="8C5juwsq6/m2woesRS5X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ARANDA DE DUERO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0.23529411764705882</v>
      </c>
      <c r="C10" s="515">
        <f>IF(ISNUMBER((Datos!J10-Datos!T10)/Datos!T10),(Datos!J10-Datos!T10)/Datos!T10," - ")</f>
        <v>-0.22222222222222221</v>
      </c>
      <c r="D10" s="515">
        <f>IF(ISNUMBER((Datos!K10-Datos!U10)/Datos!U10),(Datos!K10-Datos!U10)/Datos!U10," - ")</f>
        <v>-1</v>
      </c>
      <c r="E10" s="515">
        <f>IF(ISNUMBER((Datos!L10-Datos!V10)/Datos!V10),(Datos!L10-Datos!V10)/Datos!V10," - ")</f>
        <v>-0.52380952380952384</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-8.1047381546134667E-2</v>
      </c>
      <c r="C12" s="515">
        <f>IF(ISNUMBER(
   IF(J_V="SI",(Datos!J12-Datos!T12)/Datos!T12,(Datos!J12+Datos!Z12-(Datos!T12+Datos!AH12))/(Datos!T12+Datos!AH12))
     ),IF(J_V="SI",(Datos!J12-Datos!T12)/Datos!T12,(Datos!J12+Datos!Z12-(Datos!T12+Datos!AH12))/(Datos!T12+Datos!AH12))," - ")</f>
        <v>9.9450884685784016E-2</v>
      </c>
      <c r="D12" s="515">
        <f>IF(ISNUMBER(
   IF(J_V="SI",(Datos!K12-Datos!U12)/Datos!U12,(Datos!K12+Datos!AA12-(Datos!U12+Datos!AI12))/(Datos!U12+Datos!AI12))
     ),IF(J_V="SI",(Datos!K12-Datos!U12)/Datos!U12,(Datos!K12+Datos!AA12-(Datos!U12+Datos!AI12))/(Datos!U12+Datos!AI12))," - ")</f>
        <v>-0.18021603183627061</v>
      </c>
      <c r="E12" s="515">
        <f>IF(ISNUMBER(
   IF(J_V="SI",(Datos!L12-Datos!V12)/Datos!V12,(Datos!L12+Datos!AB12-(Datos!V12+Datos!AJ12))/(Datos!V12+Datos!AJ12))
     ),IF(J_V="SI",(Datos!L12-Datos!V12)/Datos!V12,(Datos!L12+Datos!AB12-(Datos!V12+Datos!AJ12))/(Datos!V12+Datos!AJ12))," - ")</f>
        <v>0.4287652645861601</v>
      </c>
      <c r="F12" s="515">
        <f>IF(ISNUMBER((Datos!M12-Datos!W12)/Datos!W12),(Datos!M12-Datos!W12)/Datos!W12," - ")</f>
        <v>-0.19444444444444445</v>
      </c>
      <c r="G12" s="516">
        <f>IF(ISNUMBER((Datos!N12-Datos!X12)/Datos!X12),(Datos!N12-Datos!X12)/Datos!X12," - ")</f>
        <v>-6.9841269841269843E-2</v>
      </c>
      <c r="H12" s="514">
        <f>IF(ISNUMBER(((NºAsuntos!G12/NºAsuntos!E12)-Datos!BD12)/Datos!BD12),((NºAsuntos!G12/NºAsuntos!E12)-Datos!BD12)/Datos!BD12," - ")</f>
        <v>-0.25436963162022613</v>
      </c>
      <c r="I12" s="515">
        <f>IF(ISNUMBER(((NºAsuntos!I12/NºAsuntos!G12)-Datos!BE12)/Datos!BE12),((NºAsuntos!I12/NºAsuntos!G12)-Datos!BE12)/Datos!BE12," - ")</f>
        <v>0.74285582552500384</v>
      </c>
      <c r="J12" s="521">
        <f>IF(ISNUMBER((('Resol  Asuntos'!D12/NºAsuntos!G12)-Datos!BF12)/Datos!BF12),(('Resol  Asuntos'!D12/NºAsuntos!G12)-Datos!BF12)/Datos!BF12," - ")</f>
        <v>-0.27003610505690945</v>
      </c>
      <c r="K12" s="522">
        <f>IF(ISNUMBER((((NºAsuntos!C12+NºAsuntos!E12)/NºAsuntos!G12)-Datos!BG12)/Datos!BG12),(((NºAsuntos!C12+NºAsuntos!E12)/NºAsuntos!G12)-Datos!BG12)/Datos!BG12," - ")</f>
        <v>0.26880680878724028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-7.448107448107448E-2</v>
      </c>
      <c r="C14" s="1152">
        <f>IF(ISNUMBER(
   IF(J_V="SI",(Datos!J14-Datos!T14)/Datos!T14,(Datos!J14+Datos!Z14-(Datos!T14+Datos!AH14))/(Datos!T14+Datos!AH14))
     ),IF(J_V="SI",(Datos!J14-Datos!T14)/Datos!T14,(Datos!J14+Datos!Z14-(Datos!T14+Datos!AH14))/(Datos!T14+Datos!AH14))," - ")</f>
        <v>9.7694174757281552E-2</v>
      </c>
      <c r="D14" s="1152">
        <f>IF(ISNUMBER(
   IF(J_V="SI",(Datos!K14-Datos!U14)/Datos!U14,(Datos!K14+Datos!AA14-(Datos!U14+Datos!AI14))/(Datos!U14+Datos!AI14))
     ),IF(J_V="SI",(Datos!K14-Datos!U14)/Datos!U14,(Datos!K14+Datos!AA14-(Datos!U14+Datos!AI14))/(Datos!U14+Datos!AI14))," - ")</f>
        <v>-0.18253968253968253</v>
      </c>
      <c r="E14" s="1152">
        <f>IF(ISNUMBER(
   IF(J_V="SI",(Datos!L14-Datos!V14)/Datos!V14,(Datos!L14+Datos!AB14-(Datos!V14+Datos!AJ14))/(Datos!V14+Datos!AJ14))
     ),IF(J_V="SI",(Datos!L14-Datos!V14)/Datos!V14,(Datos!L14+Datos!AB14-(Datos!V14+Datos!AJ14))/(Datos!V14+Datos!AJ14))," - ")</f>
        <v>0.40237467018469658</v>
      </c>
      <c r="F14" s="1153">
        <f>IF(ISNUMBER((Datos!M14-Datos!W14)/Datos!W14),(Datos!M14-Datos!W14)/Datos!W14," - ")</f>
        <v>-0.19444444444444445</v>
      </c>
      <c r="G14" s="1154">
        <f>IF(ISNUMBER((Datos!N14-Datos!X14)/Datos!X14),(Datos!N14-Datos!X14)/Datos!X14," - ")</f>
        <v>-6.9841269841269843E-2</v>
      </c>
      <c r="H14" s="1154">
        <f>IF(ISNUMBER(((NºAsuntos!G14/NºAsuntos!E14)-Datos!BD14)/Datos!BD14),((NºAsuntos!G14/NºAsuntos!E14)-Datos!BD14)/Datos!BD14," - ")</f>
        <v>-0.25529319890845598</v>
      </c>
      <c r="I14" s="1154">
        <f>IF(ISNUMBER(((NºAsuntos!I14/NºAsuntos!G14)-Datos!BE14)/Datos!BE14),((NºAsuntos!I14/NºAsuntos!G14)-Datos!BE14)/Datos!BE14," - ")</f>
        <v>0.71552629556574532</v>
      </c>
      <c r="J14" s="1154">
        <f>IF(ISNUMBER((('Resol  Asuntos'!D14/NºAsuntos!G14)-Datos!BF14)/Datos!BF14),(('Resol  Asuntos'!D14/NºAsuntos!G14)-Datos!BF14)/Datos!BF14," - ")</f>
        <v>-0.26796116504854373</v>
      </c>
      <c r="K14" s="1154">
        <f>IF(ISNUMBER((((NºAsuntos!C14+NºAsuntos!E14)/NºAsuntos!G14)-Datos!BG14)/Datos!BG14),(((NºAsuntos!C14+NºAsuntos!E14)/NºAsuntos!G14)-Datos!BG14)/Datos!BG14," - ")</f>
        <v>0.27288755258735709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0.11538461538461539</v>
      </c>
      <c r="C17" s="515">
        <f>IF(ISNUMBER(
   IF(D_I="SI",(Datos!J17-Datos!T17)/Datos!T17,(Datos!J17+Datos!AD17-(Datos!T17+Datos!AL17))/(Datos!T17+Datos!AL17))
     ),IF(D_I="SI",(Datos!J17-Datos!T17)/Datos!T17,(Datos!J17+Datos!AD17-(Datos!T17+Datos!AL17))/(Datos!T17+Datos!AL17))," - ")</f>
        <v>3.1337437045327363E-2</v>
      </c>
      <c r="D17" s="515">
        <f>IF(ISNUMBER(
   IF(D_I="SI",(Datos!K17-Datos!U17)/Datos!U17,(Datos!K17+Datos!AE17-(Datos!U17+Datos!AM17))/(Datos!U17+Datos!AM17))
     ),IF(D_I="SI",(Datos!K17-Datos!U17)/Datos!U17,(Datos!K17+Datos!AE17-(Datos!U17+Datos!AM17))/(Datos!U17+Datos!AM17))," - ")</f>
        <v>0.10366552119129439</v>
      </c>
      <c r="E17" s="515">
        <f>IF(ISNUMBER(
   IF(D_I="SI",(Datos!L17-Datos!V17)/Datos!V17,(Datos!L17+Datos!AF17-(Datos!V17+Datos!AN17))/(Datos!V17+Datos!AN17))
     ),IF(D_I="SI",(Datos!L17-Datos!V17)/Datos!V17,(Datos!L17+Datos!AF17-(Datos!V17+Datos!AN17))/(Datos!V17+Datos!AN17))," - ")</f>
        <v>-0.14655172413793102</v>
      </c>
      <c r="F17" s="515">
        <f>IF(ISNUMBER((Datos!M17-Datos!W17)/Datos!W17),(Datos!M17-Datos!W17)/Datos!W17," - ")</f>
        <v>0.24334600760456274</v>
      </c>
      <c r="G17" s="516">
        <f>IF(ISNUMBER((Datos!N17-Datos!X17)/Datos!X17),(Datos!N17-Datos!X17)/Datos!X17," - ")</f>
        <v>0.14803625377643503</v>
      </c>
      <c r="H17" s="514">
        <f>IF(ISNUMBER(((NºAsuntos!G17/NºAsuntos!E17)-Datos!BD17)/Datos!BD17),((NºAsuntos!G17/NºAsuntos!E17)-Datos!BD17)/Datos!BD17," - ")</f>
        <v>7.0130377845275593E-2</v>
      </c>
      <c r="I17" s="515">
        <f>IF(ISNUMBER(((NºAsuntos!I17/NºAsuntos!G17)-Datos!BE17)/Datos!BE17),((NºAsuntos!I17/NºAsuntos!G17)-Datos!BE17)/Datos!BE17," - ")</f>
        <v>-0.22671474330297223</v>
      </c>
      <c r="J17" s="521">
        <f>IF(ISNUMBER((('Resol  Asuntos'!D17/NºAsuntos!G17)-Datos!BF17)/Datos!BF17),(('Resol  Asuntos'!D17/NºAsuntos!G17)-Datos!BF17)/Datos!BF17," - ")</f>
        <v>0.12656052375587273</v>
      </c>
      <c r="K17" s="522">
        <f>IF(ISNUMBER((((NºAsuntos!C17+NºAsuntos!E17)/NºAsuntos!G17)-Datos!BG17)/Datos!BG17),(((NºAsuntos!C17+NºAsuntos!E17)/NºAsuntos!G17)-Datos!BG17)/Datos!BG17," - ")</f>
        <v>-5.1154238182070398E-2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0.10638297872340426</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0.27142857142857141</v>
      </c>
      <c r="F18" s="515">
        <f>IF(ISNUMBER((Datos!M18-Datos!W18)/Datos!W18),(Datos!M18-Datos!W18)/Datos!W18," - ")</f>
        <v>-0.33333333333333331</v>
      </c>
      <c r="G18" s="516">
        <f>IF(ISNUMBER((Datos!N18-Datos!X18)/Datos!X18),(Datos!N18-Datos!X18)/Datos!X18," - ")</f>
        <v>0.12903225806451613</v>
      </c>
      <c r="H18" s="514">
        <f>IF(ISNUMBER(((NºAsuntos!G18/NºAsuntos!E18)-Datos!BD18)/Datos!BD18),((NºAsuntos!G18/NºAsuntos!E18)-Datos!BD18)/Datos!BD18," - ")</f>
        <v>-9.615384615384609E-2</v>
      </c>
      <c r="I18" s="515">
        <f>IF(ISNUMBER(((NºAsuntos!I18/NºAsuntos!G18)-Datos!BE18)/Datos!BE18),((NºAsuntos!I18/NºAsuntos!G18)-Datos!BE18)/Datos!BE18," - ")</f>
        <v>0.27142857142857141</v>
      </c>
      <c r="J18" s="521">
        <f>IF(ISNUMBER((('Resol  Asuntos'!D18/NºAsuntos!G18)-Datos!BF18)/Datos!BF18),(('Resol  Asuntos'!D18/NºAsuntos!G18)-Datos!BF18)/Datos!BF18," - ")</f>
        <v>-0.33333333333333331</v>
      </c>
      <c r="K18" s="522">
        <f>IF(ISNUMBER((((NºAsuntos!C18+NºAsuntos!E18)/NºAsuntos!G18)-Datos!BG18)/Datos!BG18),(((NºAsuntos!C18+NºAsuntos!E18)/NºAsuntos!G18)-Datos!BG18)/Datos!BG18," - ")</f>
        <v>7.7519379844961239E-2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9.8765432098765427E-2</v>
      </c>
      <c r="C23" s="1152">
        <f>IF(ISNUMBER(
   IF(Criterios!B14="SI",(Datos!J23-Datos!T23)/Datos!T23,(Datos!J23+Datos!AD23-(Datos!T23+Datos!AL23))/(Datos!T23+Datos!AL23))
     ),IF(Criterios!B14="SI",(Datos!J23-Datos!T23)/Datos!T23,(Datos!J23+Datos!AD23-(Datos!T23+Datos!AL23))/(Datos!T23+Datos!AL23))," - ")</f>
        <v>3.8481012658227849E-2</v>
      </c>
      <c r="D23" s="1152">
        <f>IF(ISNUMBER(
   IF(Criterios!B14="SI",(Datos!K23-Datos!U23)/Datos!U23,(Datos!K23+Datos!AE23-(Datos!U23+Datos!AM23))/(Datos!U23+Datos!AM23))
     ),IF(Criterios!B14="SI",(Datos!K23-Datos!U23)/Datos!U23,(Datos!K23+Datos!AE23-(Datos!U23+Datos!AM23))/(Datos!U23+Datos!AM23))," - ")</f>
        <v>9.3540051679586567E-2</v>
      </c>
      <c r="E23" s="1152">
        <f>IF(ISNUMBER(
   IF(Criterios!B14="SI",(Datos!L23-Datos!V23)/Datos!V23,(Datos!L23+Datos!AF23-(Datos!V23+Datos!AN23))/(Datos!V23+Datos!AN23))
     ),IF(Criterios!B14="SI",(Datos!L23-Datos!V23)/Datos!V23,(Datos!L23+Datos!AF23-(Datos!V23+Datos!AN23))/(Datos!V23+Datos!AN23))," - ")</f>
        <v>-9.1760299625468167E-2</v>
      </c>
      <c r="F23" s="1153">
        <f>IF(ISNUMBER((Datos!M23-Datos!W23)/Datos!W23),(Datos!M23-Datos!W23)/Datos!W23," - ")</f>
        <v>0.23684210526315788</v>
      </c>
      <c r="G23" s="1154">
        <f>IF(ISNUMBER((Datos!N23-Datos!X23)/Datos!X23),(Datos!N23-Datos!X23)/Datos!X23," - ")</f>
        <v>0.14640883977900551</v>
      </c>
      <c r="H23" s="1154">
        <f>IF(ISNUMBER(((NºAsuntos!G23/NºAsuntos!E23)-Datos!BD23)/Datos!BD23),((NºAsuntos!G23/NºAsuntos!E23)-Datos!BD23)/Datos!BD23," - ")</f>
        <v>5.3018821095652549E-2</v>
      </c>
      <c r="I23" s="1154">
        <f>IF(ISNUMBER(((NºAsuntos!I23/NºAsuntos!G23)-Datos!BE23)/Datos!BE23),((NºAsuntos!I23/NºAsuntos!G23)-Datos!BE23)/Datos!BE23," - ")</f>
        <v>-0.16944999044200429</v>
      </c>
      <c r="J23" s="1154">
        <f>IF(ISNUMBER((('Resol  Asuntos'!D23/NºAsuntos!G23)-Datos!BF23)/Datos!BF23),(('Resol  Asuntos'!D23/NºAsuntos!G23)-Datos!BF23)/Datos!BF23," - ")</f>
        <v>0.13104417470898422</v>
      </c>
      <c r="K23" s="1154">
        <f>IF(ISNUMBER((((NºAsuntos!C23+NºAsuntos!E23)/NºAsuntos!G23)-Datos!BG23)/Datos!BG23),(((NºAsuntos!C23+NºAsuntos!E23)/NºAsuntos!G23)-Datos!BG23)/Datos!BG23," - ")</f>
        <v>-3.9462687874125699E-2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-9.9616858237547897E-3</v>
      </c>
      <c r="C31" s="1092">
        <f>IF(ISNUMBER(
   IF(J_V="SI",(Datos!J31-Datos!T31)/Datos!T31,(Datos!J31+Datos!Z31-(Datos!T31+Datos!AH31))/(Datos!T31+Datos!AH31))
     ),IF(J_V="SI",(Datos!J31-Datos!T31)/Datos!T31,(Datos!J31+Datos!Z31-(Datos!T31+Datos!AH31))/(Datos!T31+Datos!AH31))," - ")</f>
        <v>6.5415401600883244E-2</v>
      </c>
      <c r="D31" s="1092">
        <f>IF(ISNUMBER(
   IF(J_V="SI",(Datos!K31-Datos!U31)/Datos!U31,(Datos!K31+Datos!AA31-(Datos!U31+Datos!AI31))/(Datos!U31+Datos!AI31))
     ),IF(J_V="SI",(Datos!K31-Datos!U31)/Datos!U31,(Datos!K31+Datos!AA31-(Datos!U31+Datos!AI31))/(Datos!U31+Datos!AI31))," - ")</f>
        <v>-3.8118410381184104E-2</v>
      </c>
      <c r="E31" s="1092">
        <f>IF(ISNUMBER(
   IF(J_V="SI",(Datos!L31-Datos!V31)/Datos!V31,(Datos!L31+Datos!AB31-(Datos!V31+Datos!AJ31))/(Datos!V31+Datos!AJ31))
     ),IF(J_V="SI",(Datos!L31-Datos!V31)/Datos!V31,(Datos!L31+Datos!AB31-(Datos!V31+Datos!AJ31))/(Datos!V31+Datos!AJ31))," - ")</f>
        <v>0.19814241486068113</v>
      </c>
      <c r="F31" s="1093">
        <f>IF(ISNUMBER((Datos!M31-Datos!W31)/Datos!W31),(Datos!M31-Datos!W31)/Datos!W31," - ")</f>
        <v>-3.8147138964577658E-2</v>
      </c>
      <c r="G31" s="1094">
        <f>IF(ISNUMBER((Datos!N31-Datos!X31)/Datos!X31),(Datos!N31-Datos!X31)/Datos!X31," - ")</f>
        <v>6.7016317016317023E-2</v>
      </c>
      <c r="H31" s="1095">
        <f>IF(ISNUMBER((Tasas!B31-Datos!BD31)/Datos!BD31),(Tasas!B31-Datos!BD31)/Datos!BD31," - ")</f>
        <v>-9.7176943215292771E-2</v>
      </c>
      <c r="I31" s="1096">
        <f>IF(ISNUMBER((Tasas!C31-Datos!BE31)/Datos!BE31),(Tasas!C31-Datos!BE31)/Datos!BE31," - ")</f>
        <v>0.24562360668062375</v>
      </c>
      <c r="J31" s="1097">
        <f>IF(ISNUMBER((Tasas!D31-Datos!BF31)/Datos!BF31),(Tasas!D31-Datos!BF31)/Datos!BF31," - ")</f>
        <v>-0.18082803842447609</v>
      </c>
      <c r="K31" s="1097">
        <f>IF(ISNUMBER((Tasas!E31-Datos!BG31)/Datos!BG31),(Tasas!E31-Datos!BG31)/Datos!BG31," - ")</f>
        <v>8.6884868925341072E-2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sKH1DIYbdD+6/yBhLRetzA8lJn4obgMBu6PaGyvPYjJ6n9K25QxS28Rx8GUa7NnGygnVGT8hXk/xkOf+rUwtg==" saltValue="cDnp+2kDPBuVZ3sbscQC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ARANDA DE DUERO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0.80022197558268593</v>
      </c>
      <c r="C12" s="498">
        <f>IF(ISNUMBER(NºAsuntos!I12/NºAsuntos!G12),NºAsuntos!I12/NºAsuntos!G12," - ")</f>
        <v>0.7302357836338419</v>
      </c>
      <c r="D12" s="499">
        <f>IF(ISNUMBER('Resol  Asuntos'!D12/NºAsuntos!G12),'Resol  Asuntos'!D12/NºAsuntos!G12," - ")</f>
        <v>0.26144244105409153</v>
      </c>
      <c r="E12" s="500">
        <f>IF(ISNUMBER((NºAsuntos!C12+NºAsuntos!E12)/NºAsuntos!G12),(NºAsuntos!C12+NºAsuntos!E12)/NºAsuntos!G12," - ")</f>
        <v>1.7607489597780861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0.79712548369264791</v>
      </c>
      <c r="C14" s="1156">
        <f>IF(ISNUMBER(NºAsuntos!I14/NºAsuntos!G14),NºAsuntos!I14/NºAsuntos!G14," - ")</f>
        <v>0.73717059639389737</v>
      </c>
      <c r="D14" s="1157">
        <f>IF(ISNUMBER('Resol  Asuntos'!D14/NºAsuntos!G14),'Resol  Asuntos'!D14/NºAsuntos!G14," - ")</f>
        <v>0.26144244105409153</v>
      </c>
      <c r="E14" s="1158">
        <f>IF(ISNUMBER((NºAsuntos!C14+NºAsuntos!E14)/NºAsuntos!G14),(NºAsuntos!C14+NºAsuntos!E14)/NºAsuntos!G14," - ")</f>
        <v>1.7801664355062414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1.0455778621812262</v>
      </c>
      <c r="C17" s="498">
        <f>IF(ISNUMBER(NºAsuntos!I17/NºAsuntos!G17),NºAsuntos!I17/NºAsuntos!G17," - ")</f>
        <v>0.20550077841203945</v>
      </c>
      <c r="D17" s="499">
        <f>IF(ISNUMBER('Resol  Asuntos'!D17/NºAsuntos!G17),'Resol  Asuntos'!D17/NºAsuntos!G17," - ")</f>
        <v>0.16969382459782045</v>
      </c>
      <c r="E17" s="500">
        <f>IF(ISNUMBER((NºAsuntos!C17+NºAsuntos!E17)/NºAsuntos!G17),(NºAsuntos!C17+NºAsuntos!E17)/NºAsuntos!G17," - ")</f>
        <v>1.1971977166580177</v>
      </c>
      <c r="G17" s="523"/>
    </row>
    <row r="18" spans="1:7">
      <c r="A18" s="450" t="str">
        <f>Datos!A18</f>
        <v>Jdos. Violencia contra la mujer</v>
      </c>
      <c r="B18" s="497">
        <f>IF(ISNUMBER(NºAsuntos!G18/NºAsuntos!E18),NºAsuntos!G18/NºAsuntos!E18," - ")</f>
        <v>0.90865384615384615</v>
      </c>
      <c r="C18" s="498">
        <f>IF(ISNUMBER(NºAsuntos!I18/NºAsuntos!G18),NºAsuntos!I18/NºAsuntos!G18," - ")</f>
        <v>0.47089947089947087</v>
      </c>
      <c r="D18" s="499">
        <f>IF(ISNUMBER('Resol  Asuntos'!D18/NºAsuntos!G18),'Resol  Asuntos'!D18/NºAsuntos!G18," - ")</f>
        <v>1.0582010582010581E-2</v>
      </c>
      <c r="E18" s="500">
        <f>IF(ISNUMBER((NºAsuntos!C18+NºAsuntos!E18)/NºAsuntos!G18),(NºAsuntos!C18+NºAsuntos!E18)/NºAsuntos!G18," - ")</f>
        <v>1.4708994708994709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1.0316918576304241</v>
      </c>
      <c r="C23" s="1156">
        <f>IF(ISNUMBER(NºAsuntos!I23/NºAsuntos!G23),NºAsuntos!I23/NºAsuntos!G23," - ")</f>
        <v>0.22920604914933837</v>
      </c>
      <c r="D23" s="1159">
        <f>IF(ISNUMBER('Resol  Asuntos'!D23/NºAsuntos!G23),'Resol  Asuntos'!D23/NºAsuntos!G23," - ")</f>
        <v>0.15548204158790171</v>
      </c>
      <c r="E23" s="1158">
        <f>IF(ISNUMBER((NºAsuntos!C23+NºAsuntos!E23)/NºAsuntos!G23),(NºAsuntos!C23+NºAsuntos!E23)/NºAsuntos!G23," - ")</f>
        <v>1.2216446124763705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0.92176165803108812</v>
      </c>
      <c r="C31" s="1099">
        <f>IF(ISNUMBER(NºAsuntos!I31/NºAsuntos!G31),NºAsuntos!I31/NºAsuntos!G31," - ")</f>
        <v>0.4350758853288364</v>
      </c>
      <c r="D31" s="1100">
        <f>IF(ISNUMBER('Resol  Asuntos'!D31/NºAsuntos!G31),'Resol  Asuntos'!D31/NºAsuntos!G31," - ")</f>
        <v>0.19842608206857784</v>
      </c>
      <c r="E31" s="1101">
        <f>IF(ISNUMBER((NºAsuntos!C31+NºAsuntos!E31)/NºAsuntos!G31),(NºAsuntos!C31+NºAsuntos!E31)/NºAsuntos!G31," - ")</f>
        <v>1.4480044969083754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F6OTPNfRqSEgU8B/vkbLqh0XRhPspO5WRLPibHVESWw5ePYIOeeAxE7ud7QPfZ6PyyU03cKErgnVtAPhtDvfA==" saltValue="LzROf+KovJlU53b1v/Ze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ARANDA DE DUERO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254</v>
      </c>
      <c r="Y12" s="374">
        <f t="shared" si="0"/>
        <v>254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377</v>
      </c>
      <c r="AJ12" s="243" t="str">
        <f>IF(ISNUMBER(Datos!BW12),Datos!BW12," - ")</f>
        <v xml:space="preserve"> - </v>
      </c>
      <c r="AK12" s="242" t="str">
        <f>IF(ISNUMBER(Datos!BX12),Datos!BX12," - ")</f>
        <v xml:space="preserve"> - </v>
      </c>
      <c r="AL12" s="266">
        <f>IF(ISNUMBER(NºAsuntos!G12/NºAsuntos!E12),NºAsuntos!G12/NºAsuntos!E12," - ")</f>
        <v>0.80022197558268593</v>
      </c>
      <c r="AM12" s="284">
        <f>IF(ISNUMBER(((NºAsuntos!I12/NºAsuntos!G12)*11)/factor_trimestre),((NºAsuntos!I12/NºAsuntos!G12)*11)/factor_trimestre," - ")</f>
        <v>8.0325936199722605</v>
      </c>
      <c r="AN12" s="267">
        <f>IF(ISNUMBER('Resol  Asuntos'!D12/NºAsuntos!G12),'Resol  Asuntos'!D12/NºAsuntos!G12," - ")</f>
        <v>0.26144244105409153</v>
      </c>
      <c r="AO12" s="268">
        <f>IF(ISNUMBER((NºAsuntos!C12+NºAsuntos!E12)/NºAsuntos!G12),(NºAsuntos!C12+NºAsuntos!E12)/NºAsuntos!G12," - ")</f>
        <v>1.7607489597780861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21</v>
      </c>
      <c r="H14" s="1162">
        <f t="shared" si="5"/>
        <v>0</v>
      </c>
      <c r="I14" s="1164">
        <f t="shared" si="5"/>
        <v>0</v>
      </c>
      <c r="J14" s="1164">
        <f t="shared" si="5"/>
        <v>0</v>
      </c>
      <c r="K14" s="1164">
        <f t="shared" si="5"/>
        <v>0</v>
      </c>
      <c r="L14" s="1164">
        <f t="shared" si="5"/>
        <v>476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254</v>
      </c>
      <c r="Y14" s="1165">
        <f t="shared" si="6"/>
        <v>254</v>
      </c>
      <c r="Z14" s="1165">
        <f t="shared" si="6"/>
        <v>0</v>
      </c>
      <c r="AA14" s="1165">
        <f t="shared" si="6"/>
        <v>10</v>
      </c>
      <c r="AB14" s="1165">
        <f t="shared" si="6"/>
        <v>1538</v>
      </c>
      <c r="AC14" s="1165">
        <f t="shared" si="6"/>
        <v>12</v>
      </c>
      <c r="AD14" s="1165">
        <f t="shared" si="6"/>
        <v>0</v>
      </c>
      <c r="AE14" s="1169">
        <f t="shared" si="6"/>
        <v>0</v>
      </c>
      <c r="AF14" s="1162">
        <f t="shared" si="6"/>
        <v>0</v>
      </c>
      <c r="AG14" s="1170">
        <f t="shared" si="6"/>
        <v>0</v>
      </c>
      <c r="AH14" s="1167">
        <f t="shared" si="6"/>
        <v>0</v>
      </c>
      <c r="AI14" s="1162">
        <f t="shared" si="6"/>
        <v>377</v>
      </c>
      <c r="AJ14" s="1164">
        <f t="shared" si="6"/>
        <v>0</v>
      </c>
      <c r="AK14" s="1167">
        <f>SUBTOTAL(9,AK9:AK13)</f>
        <v>0</v>
      </c>
      <c r="AL14" s="1171">
        <f>IF(ISNUMBER(NºAsuntos!G14/NºAsuntos!E14),NºAsuntos!G14/NºAsuntos!E14," - ")</f>
        <v>0.79712548369264791</v>
      </c>
      <c r="AM14" s="1171">
        <f>IF(ISNUMBER(((NºAsuntos!I14/NºAsuntos!G14)*11)/factor_trimestre),((NºAsuntos!I14/NºAsuntos!G14)*11)/factor_trimestre," - ")</f>
        <v>8.1088765603328703</v>
      </c>
      <c r="AN14" s="1172">
        <f>IF(ISNUMBER('Resol  Asuntos'!D14/NºAsuntos!G14),'Resol  Asuntos'!D14/NºAsuntos!G14," - ")</f>
        <v>0.26144244105409153</v>
      </c>
      <c r="AO14" s="1173">
        <f>IF(ISNUMBER((NºAsuntos!C14+NºAsuntos!E14)/NºAsuntos!G14),(NºAsuntos!C14+NºAsuntos!E14)/NºAsuntos!G14," - ")</f>
        <v>1.7801664355062414</v>
      </c>
      <c r="AP14" s="1174" t="str">
        <f t="shared" si="2"/>
        <v xml:space="preserve"> - </v>
      </c>
      <c r="AQ14" s="1174">
        <f>IF(ISNUMBER((H14-W14+K14)/(F14)),(H14-W14+K14)/(F14)," - ")</f>
        <v>0</v>
      </c>
      <c r="AR14" s="1175">
        <f>IF(ISNUMBER((Datos!P14-Datos!Q14)/(Datos!R14-Datos!P14+Datos!Q14)),(Datos!P14-Datos!Q14)/(Datos!R14-Datos!P14+Datos!Q14)," - ")</f>
        <v>0.16869300911854104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480</v>
      </c>
      <c r="G17" s="373">
        <f>IF(ISNUMBER(IF(D_I="SI",Datos!I17,Datos!I17+Datos!AC17)),IF(D_I="SI",Datos!I17,Datos!I17+Datos!AC17)," - ")</f>
        <v>464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1927</v>
      </c>
      <c r="X17" s="240">
        <f>IF(ISNUMBER(Datos!Q17),Datos!Q17," - ")</f>
        <v>55</v>
      </c>
      <c r="Y17" s="374">
        <f t="shared" ref="Y17:Y22" si="9">SUM(W17:X17)</f>
        <v>1982</v>
      </c>
      <c r="Z17" s="375" t="str">
        <f>IF(ISNUMBER(Datos!CC17),Datos!CC17," - ")</f>
        <v xml:space="preserve"> - </v>
      </c>
      <c r="AA17" s="372">
        <f>IF(ISNUMBER(IF(D_I="SI",Datos!L17,Datos!L17+Datos!AF17)),IF(D_I="SI",Datos!L17,Datos!L17+Datos!AF17)," - ")</f>
        <v>396</v>
      </c>
      <c r="AB17" s="374">
        <f>IF(ISNUMBER(Datos!R17),Datos!R17," - ")</f>
        <v>95</v>
      </c>
      <c r="AC17" s="374">
        <f t="shared" si="8"/>
        <v>491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327</v>
      </c>
      <c r="AJ17" s="245" t="str">
        <f>IF(ISNUMBER(Datos!BW17),Datos!BW17," - ")</f>
        <v xml:space="preserve"> - </v>
      </c>
      <c r="AK17" s="246" t="str">
        <f>IF(ISNUMBER(Datos!BX17),Datos!BX17," - ")</f>
        <v xml:space="preserve"> - </v>
      </c>
      <c r="AL17" s="266">
        <f>IF(ISNUMBER(NºAsuntos!G17/NºAsuntos!E17),NºAsuntos!G17/NºAsuntos!E17," - ")</f>
        <v>1.0455778621812262</v>
      </c>
      <c r="AM17" s="284">
        <f>IF(ISNUMBER(((NºAsuntos!I17/NºAsuntos!G17)*11)/factor_trimestre),((NºAsuntos!I17/NºAsuntos!G17)*11)/factor_trimestre," - ")</f>
        <v>2.2605085625324342</v>
      </c>
      <c r="AN17" s="267">
        <f>IF(ISNUMBER('Resol  Asuntos'!D17/NºAsuntos!G17),'Resol  Asuntos'!D17/NºAsuntos!G17," - ")</f>
        <v>0.16969382459782045</v>
      </c>
      <c r="AO17" s="268">
        <f>IF(ISNUMBER((NºAsuntos!C17+NºAsuntos!E17)/NºAsuntos!G17),(NºAsuntos!C17+NºAsuntos!E17)/NºAsuntos!G17," - ")</f>
        <v>1.1971977166580177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189</v>
      </c>
      <c r="X18" s="240">
        <f>IF(ISNUMBER(Datos!Q18),Datos!Q18," - ")</f>
        <v>0</v>
      </c>
      <c r="Y18" s="374">
        <f t="shared" si="9"/>
        <v>189</v>
      </c>
      <c r="Z18" s="375" t="str">
        <f>IF(ISNUMBER(Datos!CC18),Datos!CC18," - ")</f>
        <v xml:space="preserve"> - </v>
      </c>
      <c r="AA18" s="372">
        <f>IF(ISNUMBER(Datos!L18),Datos!L18,"-")</f>
        <v>89</v>
      </c>
      <c r="AB18" s="374">
        <f>IF(ISNUMBER(Datos!R18),Datos!R18," - ")</f>
        <v>1</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0.90865384615384615</v>
      </c>
      <c r="AM18" s="284">
        <f>IF(ISNUMBER(((NºAsuntos!I18/NºAsuntos!G18)*11)/factor_trimestre),((NºAsuntos!I18/NºAsuntos!G18)*11)/factor_trimestre," - ")</f>
        <v>5.1798941798941796</v>
      </c>
      <c r="AN18" s="267">
        <f>IF(ISNUMBER('Resol  Asuntos'!D18/NºAsuntos!G18),'Resol  Asuntos'!D18/NºAsuntos!G18," - ")</f>
        <v>1.0582010582010581E-2</v>
      </c>
      <c r="AO18" s="268">
        <f>IF(ISNUMBER((NºAsuntos!C18+NºAsuntos!E18)/NºAsuntos!G18),(NºAsuntos!C18+NºAsuntos!E18)/NºAsuntos!G18," - ")</f>
        <v>1.4708994708994709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480</v>
      </c>
      <c r="G23" s="1163">
        <f>SUBTOTAL(9,G16:G22)</f>
        <v>534</v>
      </c>
      <c r="H23" s="1162">
        <f t="shared" ref="H23:O23" si="13">SUBTOTAL(9,H15:H22)</f>
        <v>0</v>
      </c>
      <c r="I23" s="1164">
        <f t="shared" si="13"/>
        <v>0</v>
      </c>
      <c r="J23" s="1164">
        <f t="shared" si="13"/>
        <v>0</v>
      </c>
      <c r="K23" s="1164">
        <f t="shared" si="13"/>
        <v>0</v>
      </c>
      <c r="L23" s="1164">
        <f t="shared" si="13"/>
        <v>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2116</v>
      </c>
      <c r="X23" s="1164">
        <f t="shared" si="14"/>
        <v>55</v>
      </c>
      <c r="Y23" s="1165">
        <f t="shared" si="14"/>
        <v>2171</v>
      </c>
      <c r="Z23" s="1165">
        <f t="shared" si="14"/>
        <v>0</v>
      </c>
      <c r="AA23" s="1165">
        <f t="shared" si="14"/>
        <v>485</v>
      </c>
      <c r="AB23" s="1165">
        <f t="shared" si="14"/>
        <v>96</v>
      </c>
      <c r="AC23" s="1165">
        <f t="shared" si="14"/>
        <v>581</v>
      </c>
      <c r="AD23" s="1165">
        <f t="shared" si="14"/>
        <v>0</v>
      </c>
      <c r="AE23" s="1169">
        <f t="shared" si="14"/>
        <v>0</v>
      </c>
      <c r="AF23" s="1162">
        <f t="shared" si="14"/>
        <v>0</v>
      </c>
      <c r="AG23" s="1170">
        <f t="shared" si="14"/>
        <v>0</v>
      </c>
      <c r="AH23" s="1167">
        <f t="shared" si="14"/>
        <v>0</v>
      </c>
      <c r="AI23" s="1162">
        <f t="shared" si="14"/>
        <v>329</v>
      </c>
      <c r="AJ23" s="1164">
        <f t="shared" si="14"/>
        <v>0</v>
      </c>
      <c r="AK23" s="1167">
        <f t="shared" si="14"/>
        <v>0</v>
      </c>
      <c r="AL23" s="1171">
        <f>IF(ISNUMBER(NºAsuntos!G23/NºAsuntos!E23),NºAsuntos!G23/NºAsuntos!E23," - ")</f>
        <v>1.0316918576304241</v>
      </c>
      <c r="AM23" s="1171">
        <f>IF(ISNUMBER(((NºAsuntos!I23/NºAsuntos!G23)*11)/factor_trimestre),((NºAsuntos!I23/NºAsuntos!G23)*11)/factor_trimestre," - ")</f>
        <v>2.5212665406427219</v>
      </c>
      <c r="AN23" s="1172">
        <f>IF(ISNUMBER('Resol  Asuntos'!D23/NºAsuntos!G23),'Resol  Asuntos'!D23/NºAsuntos!G23," - ")</f>
        <v>0.15548204158790171</v>
      </c>
      <c r="AO23" s="1173">
        <f>IF(ISNUMBER((NºAsuntos!C23+NºAsuntos!E23)/NºAsuntos!G23),(NºAsuntos!C23+NºAsuntos!E23)/NºAsuntos!G23," - ")</f>
        <v>1.2216446124763705</v>
      </c>
      <c r="AP23" s="1174" t="str">
        <f t="shared" si="2"/>
        <v xml:space="preserve"> - </v>
      </c>
      <c r="AQ23" s="1174">
        <f>IF(ISNUMBER((H23-W23+K23)/(F23)),(H23-W23+K23)/(F23)," - ")</f>
        <v>-4.4083333333333332</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483</v>
      </c>
      <c r="G31" s="1118">
        <f t="shared" si="20"/>
        <v>555</v>
      </c>
      <c r="H31" s="1117">
        <f t="shared" si="20"/>
        <v>0</v>
      </c>
      <c r="I31" s="1119">
        <f t="shared" si="20"/>
        <v>0</v>
      </c>
      <c r="J31" s="1119">
        <f t="shared" si="20"/>
        <v>0</v>
      </c>
      <c r="K31" s="1180">
        <f t="shared" si="20"/>
        <v>0</v>
      </c>
      <c r="L31" s="1119">
        <f t="shared" si="20"/>
        <v>555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2116</v>
      </c>
      <c r="X31" s="1118">
        <f t="shared" si="21"/>
        <v>309</v>
      </c>
      <c r="Y31" s="1125">
        <f t="shared" si="21"/>
        <v>2425</v>
      </c>
      <c r="Z31" s="1125">
        <f t="shared" si="21"/>
        <v>0</v>
      </c>
      <c r="AA31" s="1125">
        <f t="shared" si="21"/>
        <v>495</v>
      </c>
      <c r="AB31" s="1125">
        <f t="shared" si="21"/>
        <v>1634</v>
      </c>
      <c r="AC31" s="1125">
        <f t="shared" si="21"/>
        <v>593</v>
      </c>
      <c r="AD31" s="1125">
        <f t="shared" si="21"/>
        <v>0</v>
      </c>
      <c r="AE31" s="1127">
        <f t="shared" si="21"/>
        <v>0</v>
      </c>
      <c r="AF31" s="1128">
        <f t="shared" si="21"/>
        <v>0</v>
      </c>
      <c r="AG31" s="1129">
        <f t="shared" si="21"/>
        <v>0</v>
      </c>
      <c r="AH31" s="1127">
        <f t="shared" si="21"/>
        <v>0</v>
      </c>
      <c r="AI31" s="1117">
        <f t="shared" si="21"/>
        <v>706</v>
      </c>
      <c r="AJ31" s="1117">
        <f t="shared" si="21"/>
        <v>0</v>
      </c>
      <c r="AK31" s="1127">
        <f t="shared" si="21"/>
        <v>0</v>
      </c>
      <c r="AL31" s="1183">
        <f>IF(ISNUMBER(NºAsuntos!G31/NºAsuntos!E31),NºAsuntos!G31/NºAsuntos!E31," - ")</f>
        <v>0.92176165803108812</v>
      </c>
      <c r="AM31" s="1184">
        <f>IF(ISNUMBER(((NºAsuntos!I31/NºAsuntos!G31)*11)/factor_trimestre),((NºAsuntos!I31/NºAsuntos!G31)*11)/factor_trimestre," - ")</f>
        <v>4.7858347386172007</v>
      </c>
      <c r="AN31" s="1184">
        <f>IF(ISNUMBER('Resol  Asuntos'!D31/NºAsuntos!G31),'Resol  Asuntos'!D31/NºAsuntos!G31," - ")</f>
        <v>0.19842608206857784</v>
      </c>
      <c r="AO31" s="1185">
        <f>IF(ISNUMBER((NºAsuntos!C31+NºAsuntos!E31)/NºAsuntos!G31),(NºAsuntos!C31+NºAsuntos!E31)/NºAsuntos!G31," - ")</f>
        <v>1.4480044969083754</v>
      </c>
      <c r="AP31" s="1186" t="str">
        <f t="shared" si="2"/>
        <v xml:space="preserve"> - </v>
      </c>
      <c r="AQ31" s="1187">
        <f>IF(OR(ISNUMBER(FIND("01",Criterios!A8,1)),ISNUMBER(FIND("02",Criterios!A8,1)),ISNUMBER(FIND("03",Criterios!A8,1)),ISNUMBER(FIND("04",Criterios!A8,1))),(I31-W31+K31)/(F31-K31),(H31-W31+K31)/(F31-K31))</f>
        <v>-4.3809523809523814</v>
      </c>
      <c r="AR31" s="1188">
        <f>IF(ISNUMBER((Datos!P31-Datos!Q31)/(Datos!R31-Datos!P31+Datos!Q31)),(Datos!P31-Datos!Q31)/(Datos!R31-Datos!P31+Datos!Q31)," - ")</f>
        <v>0.17723342939481268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247.0999797652764</v>
      </c>
      <c r="G33" s="277">
        <f>IF(ISNUMBER(STDEV(G8:G30)),STDEV(G8:G30),"-")</f>
        <v>234.59884707222892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971.93618740169995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189.06310359998099</v>
      </c>
      <c r="AJ33" s="276">
        <f t="shared" si="25"/>
        <v>0</v>
      </c>
      <c r="AK33" s="278">
        <f t="shared" si="25"/>
        <v>0</v>
      </c>
      <c r="AL33" s="273">
        <f t="shared" si="25"/>
        <v>0.38935202553393627</v>
      </c>
      <c r="AM33" s="274">
        <f t="shared" si="25"/>
        <v>2.841639008152161</v>
      </c>
      <c r="AN33" s="274">
        <f t="shared" si="25"/>
        <v>0.1028754839667487</v>
      </c>
      <c r="AO33" s="275">
        <f t="shared" si="25"/>
        <v>0.28086444775544239</v>
      </c>
      <c r="AP33" s="317" t="str">
        <f t="shared" si="25"/>
        <v>-</v>
      </c>
      <c r="AQ33" s="318">
        <f t="shared" si="25"/>
        <v>3.1171623937306969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frG+aLmo8KVhOn4FMre1+2ObpI9KYyiQk2IrYq39AA/We1Jq1caUNU24UikWHjwjA1gQactOtBJgLL8mNWbMQ==" saltValue="1yVX9RH8kLAKjs64G/Pg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ARANDA DE DUERO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0.23529411764705882</v>
      </c>
      <c r="E10" s="393">
        <f>IF(ISNUMBER((Datos!J10-Datos!T10)/Datos!T10),(Datos!J10-Datos!T10)/Datos!T10," - ")</f>
        <v>-0.22222222222222221</v>
      </c>
      <c r="F10" s="393">
        <f>IF(ISNUMBER((Datos!K10-Datos!U10)/Datos!U10),(Datos!K10-Datos!U10)/Datos!U10," - ")</f>
        <v>-1</v>
      </c>
      <c r="G10" s="394">
        <f>IF(ISNUMBER((Datos!L10-Datos!V10)/Datos!V10),(Datos!L10-Datos!V10)/Datos!V10," - ")</f>
        <v>-0.52380952380952384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-0.19444444444444445</v>
      </c>
      <c r="I12" s="395">
        <f>IF(ISNUMBER((Tasas!C12-Datos!BE12)/Datos!BE12),(Tasas!C12-Datos!BE12)/Datos!BE12," - ")</f>
        <v>0.74285582552500384</v>
      </c>
      <c r="J12" s="394">
        <f>IF(ISNUMBER((Tasas!D12-Datos!BF12)/Datos!BF12),(Tasas!D12-Datos!BF12)/Datos!BF12," - ")</f>
        <v>-0.27003610505690945</v>
      </c>
      <c r="K12" s="396">
        <f>IF(ISNUMBER((Tasas!E12-Datos!BG12)/Datos!BG12),(Tasas!E12-Datos!BG12)/Datos!BG12," - ")</f>
        <v>0.26880680878724028</v>
      </c>
      <c r="M12" t="e">
        <f>IF(Monitorios="SI",Datos!CE12,0)</f>
        <v>#REF!</v>
      </c>
      <c r="N12" t="e">
        <f>IF(Monitorios="SI",Datos!CF12,0)</f>
        <v>#REF!</v>
      </c>
      <c r="O12" t="e">
        <f>IF(Monitorios="SI",Datos!CG12,0)</f>
        <v>#REF!</v>
      </c>
      <c r="P12" t="e">
        <f>IF(Monitorios="SI",Datos!CH12,0)</f>
        <v>#REF!</v>
      </c>
      <c r="Q12">
        <f>IF(J_V="SI",0,Datos!AG12)</f>
        <v>43</v>
      </c>
      <c r="R12">
        <f>IF(J_V="SI",0,Datos!AH12)</f>
        <v>149</v>
      </c>
      <c r="S12">
        <f>IF(J_V="SI",0,Datos!AI12)</f>
        <v>143</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-0.19444444444444445</v>
      </c>
      <c r="I14" s="402">
        <f>IF(ISNUMBER((Tasas!C14-Datos!BE14)/Datos!BE14),(Tasas!C14-Datos!BE14)/Datos!BE14," - ")</f>
        <v>0.71552629556574532</v>
      </c>
      <c r="J14" s="400">
        <f>IF(ISNUMBER((Tasas!D14-Datos!BF14)/Datos!BF14),(Tasas!D14-Datos!BF14)/Datos!BF14," - ")</f>
        <v>-0.26796116504854373</v>
      </c>
      <c r="K14" s="403">
        <f>IF(ISNUMBER((Tasas!E14-Datos!BG14)/Datos!BG14),(Tasas!E14-Datos!BG14)/Datos!BG14," - ")</f>
        <v>0.27288755258735709</v>
      </c>
      <c r="M14" t="e">
        <f>IF(Monitorios="SI",Datos!CE14,0)</f>
        <v>#REF!</v>
      </c>
      <c r="N14" t="e">
        <f>IF(Monitorios="SI",Datos!CF14,0)</f>
        <v>#REF!</v>
      </c>
      <c r="O14" t="e">
        <f>IF(Monitorios="SI",Datos!CG14,0)</f>
        <v>#REF!</v>
      </c>
      <c r="P14" t="e">
        <f>IF(Monitorios="SI",Datos!CH14,0)</f>
        <v>#REF!</v>
      </c>
      <c r="Q14">
        <f>IF(J_V="SI",0,Datos!AG14)</f>
        <v>43</v>
      </c>
      <c r="R14">
        <f>IF(J_V="SI",0,Datos!AH14)</f>
        <v>149</v>
      </c>
      <c r="S14">
        <f>IF(J_V="SI",0,Datos!AI14)</f>
        <v>143</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0.11538461538461539</v>
      </c>
      <c r="E17" s="393">
        <f>IF(ISNUMBER(
   IF(D_I="SI",(Datos!J17-Datos!T17)/Datos!T17,(Datos!J17+Datos!AD17-(Datos!T17+Datos!AL17))/(Datos!T17+Datos!AL17))
     ),IF(D_I="SI",(Datos!J17-Datos!T17)/Datos!T17,(Datos!J17+Datos!AD17-(Datos!T17+Datos!AL17))/(Datos!T17+Datos!AL17))," - ")</f>
        <v>3.1337437045327363E-2</v>
      </c>
      <c r="F17" s="393">
        <f>IF(ISNUMBER(
   IF(D_I="SI",(Datos!K17-Datos!U17)/Datos!U17,(Datos!K17+Datos!AE17-(Datos!U17+Datos!AM17))/(Datos!U17+Datos!AM17))
     ),IF(D_I="SI",(Datos!K17-Datos!U17)/Datos!U17,(Datos!K17+Datos!AE17-(Datos!U17+Datos!AM17))/(Datos!U17+Datos!AM17))," - ")</f>
        <v>0.10366552119129439</v>
      </c>
      <c r="G17" s="394">
        <f>IF(ISNUMBER(
   IF(D_I="SI",(Datos!L17-Datos!V17)/Datos!V17,(Datos!L17+Datos!AF17-(Datos!V17+Datos!AN17))/(Datos!V17+Datos!AN17))
     ),IF(D_I="SI",(Datos!L17-Datos!V17)/Datos!V17,(Datos!L17+Datos!AF17-(Datos!V17+Datos!AN17))/(Datos!V17+Datos!AN17))," - ")</f>
        <v>-0.14655172413793102</v>
      </c>
      <c r="H17" s="244">
        <f>IF(ISNUMBER((Datos!M17-Datos!W17)/Datos!W17),(Datos!M17-Datos!W17)/Datos!W17," - ")</f>
        <v>0.24334600760456274</v>
      </c>
      <c r="I17" s="395">
        <f>IF(ISNUMBER((Tasas!C17-Datos!BE17)/Datos!BE17),(Tasas!C17-Datos!BE17)/Datos!BE17," - ")</f>
        <v>-0.22671474330297223</v>
      </c>
      <c r="J17" s="394">
        <f>IF(ISNUMBER((Tasas!D17-Datos!BF17)/Datos!BF17),(Tasas!D17-Datos!BF17)/Datos!BF17," - ")</f>
        <v>0.12656052375587273</v>
      </c>
      <c r="K17" s="396">
        <f>IF(ISNUMBER((Tasas!E17-Datos!BG17)/Datos!BG17),(Tasas!E17-Datos!BG17)/Datos!BG17," - ")</f>
        <v>-5.1154238182070398E-2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0.10638297872340426</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0.27142857142857141</v>
      </c>
      <c r="H18" s="244">
        <f>IF(ISNUMBER((Datos!M18-Datos!W18)/Datos!W18),(Datos!M18-Datos!W18)/Datos!W18," - ")</f>
        <v>-0.33333333333333331</v>
      </c>
      <c r="I18" s="395">
        <f>IF(ISNUMBER((Tasas!C18-Datos!BE18)/Datos!BE18),(Tasas!C18-Datos!BE18)/Datos!BE18," - ")</f>
        <v>0.27142857142857141</v>
      </c>
      <c r="J18" s="394">
        <f>IF(ISNUMBER((Tasas!D18-Datos!BF18)/Datos!BF18),(Tasas!D18-Datos!BF18)/Datos!BF18," - ")</f>
        <v>-0.33333333333333331</v>
      </c>
      <c r="K18" s="396">
        <f>IF(ISNUMBER((Tasas!E18-Datos!BG18)/Datos!BG18),(Tasas!E18-Datos!BG18)/Datos!BG18," - ")</f>
        <v>7.7519379844961239E-2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9.8765432098765427E-2</v>
      </c>
      <c r="E23" s="399">
        <f>IF(ISNUMBER(
   IF(D_I="SI",(Datos!J23-Datos!T23)/Datos!T23,(Datos!J23+Datos!AD23-(Datos!T23+Datos!AL23))/(Datos!T23+Datos!AL23))
     ),IF(D_I="SI",(Datos!J23-Datos!T23)/Datos!T23,(Datos!J23+Datos!AD23-(Datos!T23+Datos!AL23))/(Datos!T23+Datos!AL23))," - ")</f>
        <v>3.8481012658227849E-2</v>
      </c>
      <c r="F23" s="399">
        <f>IF(ISNUMBER(
   IF(D_I="SI",(Datos!K23-Datos!U23)/Datos!U23,(Datos!K23+Datos!AE23-(Datos!U23+Datos!AM23))/(Datos!U23+Datos!AM23))
     ),IF(D_I="SI",(Datos!K23-Datos!U23)/Datos!U23,(Datos!K23+Datos!AE23-(Datos!U23+Datos!AM23))/(Datos!U23+Datos!AM23))," - ")</f>
        <v>9.3540051679586567E-2</v>
      </c>
      <c r="G23" s="400">
        <f>IF(ISNUMBER(
   IF(D_I="SI",(Datos!L23-Datos!V23)/Datos!V23,(Datos!L23+Datos!AF23-(Datos!V23+Datos!AN23))/(Datos!V23+Datos!AN23))
     ),IF(D_I="SI",(Datos!L23-Datos!V23)/Datos!V23,(Datos!L23+Datos!AF23-(Datos!V23+Datos!AN23))/(Datos!V23+Datos!AN23))," - ")</f>
        <v>-9.1760299625468167E-2</v>
      </c>
      <c r="H23" s="401">
        <f>IF(ISNUMBER((Datos!M23-Datos!W23)/Datos!W23),(Datos!M23-Datos!W23)/Datos!W23," - ")</f>
        <v>0.23684210526315788</v>
      </c>
      <c r="I23" s="402">
        <f>IF(ISNUMBER((Tasas!C23-Datos!BE23)/Datos!BE23),(Tasas!C23-Datos!BE23)/Datos!BE23," - ")</f>
        <v>-0.16944999044200429</v>
      </c>
      <c r="J23" s="400">
        <f>IF(ISNUMBER((Tasas!D23-Datos!BF23)/Datos!BF23),(Tasas!D23-Datos!BF23)/Datos!BF23," - ")</f>
        <v>0.13104417470898422</v>
      </c>
      <c r="K23" s="403">
        <f>IF(ISNUMBER((Tasas!E23-Datos!BG23)/Datos!BG23),(Tasas!E23-Datos!BG23)/Datos!BG23," - ")</f>
        <v>-3.9462687874125699E-2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-9.9616858237547897E-3</v>
      </c>
      <c r="E31" s="409">
        <f>IF(ISNUMBER(
   IF(J_V="SI",(Datos!J31-Datos!T31)/Datos!T31,(Datos!J31+Datos!Z31-(Datos!T31+Datos!AH31))/(Datos!T31+Datos!AH31))
     ),IF(J_V="SI",(Datos!J31-Datos!T31)/Datos!T31,(Datos!J31+Datos!Z31-(Datos!T31+Datos!AH31))/(Datos!T31+Datos!AH31))," - ")</f>
        <v>6.5415401600883244E-2</v>
      </c>
      <c r="F31" s="409">
        <f>IF(ISNUMBER(
   IF(J_V="SI",(Datos!K31-Datos!U31)/Datos!U31,(Datos!K31+Datos!AA31-(Datos!U31+Datos!AI31))/(Datos!U31+Datos!AI31))
     ),IF(J_V="SI",(Datos!K31-Datos!U31)/Datos!U31,(Datos!K31+Datos!AA31-(Datos!U31+Datos!AI31))/(Datos!U31+Datos!AI31))," - ")</f>
        <v>-3.8118410381184104E-2</v>
      </c>
      <c r="G31" s="410">
        <f>IF(ISNUMBER(
   IF(J_V="SI",(Datos!L31-Datos!V31)/Datos!V31,(Datos!L31+Datos!AB31-(Datos!V31+Datos!AJ31))/(Datos!V31+Datos!AJ31))
     ),IF(J_V="SI",(Datos!L31-Datos!V31)/Datos!V31,(Datos!L31+Datos!AB31-(Datos!V31+Datos!AJ31))/(Datos!V31+Datos!AJ31))," - ")</f>
        <v>0.19814241486068113</v>
      </c>
      <c r="H31" s="411">
        <f>IF(ISNUMBER((Datos!M31-Datos!W31)/Datos!W31),(Datos!M31-Datos!W31)/Datos!W31," - ")</f>
        <v>-3.8147138964577658E-2</v>
      </c>
      <c r="I31" s="408">
        <f>IF(ISNUMBER((Tasas!C31-Datos!BE31)/Datos!BE31),(Tasas!C31-Datos!BE31)/Datos!BE31," - ")</f>
        <v>0.24562360668062375</v>
      </c>
      <c r="J31" s="409">
        <f>IF(ISNUMBER((Tasas!D31-Datos!BF31)/Datos!BF31),(Tasas!D31-Datos!BF31)/Datos!BF31," - ")</f>
        <v>-0.18082803842447609</v>
      </c>
      <c r="K31" s="410">
        <f>IF(ISNUMBER((Tasas!E31-Datos!BG31)/Datos!BG31),(Tasas!E31-Datos!BG31)/Datos!BG31," - ")</f>
        <v>8.6884868925341072E-2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9.6490979633625087E-2</v>
      </c>
      <c r="E33" s="303">
        <f t="shared" si="1"/>
        <v>0.14449152125278611</v>
      </c>
      <c r="F33" s="303">
        <f t="shared" si="1"/>
        <v>0.53490701948864905</v>
      </c>
      <c r="G33" s="304">
        <f t="shared" si="1"/>
        <v>0.32544961097284109</v>
      </c>
      <c r="H33" s="310">
        <f t="shared" si="1"/>
        <v>0.26940849804993516</v>
      </c>
      <c r="I33" s="302">
        <f t="shared" si="1"/>
        <v>0.4641865713188309</v>
      </c>
      <c r="J33" s="303">
        <f t="shared" si="1"/>
        <v>0.23113418166234959</v>
      </c>
      <c r="K33" s="304">
        <f t="shared" si="1"/>
        <v>0.15892223906451353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NTUX2QuF8KFqyABLDSuoJTUy+wNWI6MGve2W7ToV+idMeKl3J/Zbv5n/FtgND94e6gWH1lOHdBAh2YRVLHWBw==" saltValue="m1QbFWA5o/izDFI6+ZZ6y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